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codeName="{899C9086-67A9-5B14-2C2D-5A8001700F7D}"/>
  <workbookPr codeName="ThisWorkbook"/>
  <mc:AlternateContent xmlns:mc="http://schemas.openxmlformats.org/markup-compatibility/2006">
    <mc:Choice Requires="x15">
      <x15ac:absPath xmlns:x15ac="http://schemas.microsoft.com/office/spreadsheetml/2010/11/ac" url="https://spgouvqc-my.sharepoint.com/personal/olivier_brisson_mfa_gouv_qc_ca/Documents/Téléchargements/"/>
    </mc:Choice>
  </mc:AlternateContent>
  <xr:revisionPtr revIDLastSave="0" documentId="8_{DF699685-D8AC-4B12-BD3D-2ABA5DEB06A9}" xr6:coauthVersionLast="47" xr6:coauthVersionMax="47" xr10:uidLastSave="{00000000-0000-0000-0000-000000000000}"/>
  <workbookProtection workbookAlgorithmName="SHA-512" workbookHashValue="G2g/WpLHzXaZAfFK0W+VF1fJRMWamUTHUaLECjtC1QJZrCfko4CQ/u/2W40lsBkyf5rkxI3VI63kiAdtzd8sJA==" workbookSaltValue="LJnFE2VcLBjuwsCv7q2j3A==" workbookSpinCount="100000" lockStructure="1"/>
  <bookViews>
    <workbookView xWindow="28680" yWindow="-120" windowWidth="29040" windowHeight="15720" xr2:uid="{00000000-000D-0000-FFFF-FFFF00000000}"/>
  </bookViews>
  <sheets>
    <sheet name="Financement PFI" sheetId="1" r:id="rId1"/>
    <sheet name="RB PFI 2025-2026" sheetId="2" state="hidden" r:id="rId2"/>
    <sheet name="macros" sheetId="3" state="hidden" r:id="rId3"/>
    <sheet name="Annexe III" sheetId="6" state="hidden" r:id="rId4"/>
  </sheets>
  <externalReferences>
    <externalReference r:id="rId5"/>
    <externalReference r:id="rId6"/>
    <externalReference r:id="rId7"/>
    <externalReference r:id="rId8"/>
  </externalReferences>
  <definedNames>
    <definedName name="ddd">'[1]Liste Valeurs'!$A$2:$A$11</definedName>
    <definedName name="PFI">'[2]Liste Valeurs'!$B$2:$B$5</definedName>
    <definedName name="pour">#REF!</definedName>
    <definedName name="Recover">[3]Macro1!$A$148</definedName>
    <definedName name="RESULTAT_CALCUL_MF_Excel">#REF!</definedName>
    <definedName name="suivi">#REF!</definedName>
    <definedName name="TableName">"Dummy"</definedName>
    <definedName name="Taux">#REF!</definedName>
    <definedName name="Tauxdebase">#REF!</definedName>
    <definedName name="Typedetravauxarealiser">#REF!</definedName>
    <definedName name="wrn.CSF." hidden="1">{#N/A,#N/A,TRUE,"présentation";#N/A,#N/A,TRUE,"Pré-diagnostic";#N/A,#N/A,TRUE,"Subv établissement";#N/A,#N/A,TRUE,"État résultats prévisionnels";#N/A,#N/A,TRUE,"Historique du bilan";#N/A,#N/A,TRUE,"Ratios financiers"}</definedName>
    <definedName name="wrn.Prévision._.budgétaires." hidden="1">{#N/A,#N/A,TRUE,"présentation Budget";#N/A,#N/A,TRUE,"Table_des_matières";#N/A,#N/A,TRUE,"Hypothèse de travail";#N/A,#N/A,TRUE,"État résultats prévisionnels";#N/A,#N/A,TRUE,"Subv établissement";#N/A,#N/A,TRUE,"Masse salariale_Installatio (1)";#N/A,#N/A,TRUE,"Masse salariale_Installatio (2)";#N/A,#N/A,TRUE,"Indicateurs financiers";#N/A,#N/A,TRUE,"Historique du bilan";#N/A,#N/A,TRUE,"Budget_caisse"}</definedName>
    <definedName name="wrn.Redressement._.Financier." hidden="1">{#N/A,#N/A,TRUE,"présentation";#N/A,#N/A,TRUE,"table des matières";#N/A,#N/A,TRUE,"Indentification";#N/A,#N/A,TRUE,"Plan de la rencontre";#N/A,#N/A,TRUE,"Constatations &amp; recommandations";#N/A,#N/A,TRUE,"État_des_résultats_Pro-format";#N/A,#N/A,TRUE,"Bilan";#N/A,#N/A,TRUE,"Ratios"}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6" i="1" l="1"/>
  <c r="L8" i="1"/>
  <c r="L14" i="1"/>
  <c r="AN8" i="3" l="1"/>
  <c r="E9" i="1" l="1"/>
  <c r="AN3" i="3" s="1"/>
  <c r="H54" i="3" l="1"/>
  <c r="G54" i="3"/>
  <c r="F31" i="3"/>
  <c r="C31" i="3"/>
  <c r="B31" i="3"/>
  <c r="K31" i="3"/>
  <c r="J31" i="3"/>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V302" i="2"/>
  <c r="V303" i="2"/>
  <c r="V304" i="2"/>
  <c r="V305" i="2"/>
  <c r="V306" i="2"/>
  <c r="V307" i="2"/>
  <c r="V308" i="2"/>
  <c r="V309" i="2"/>
  <c r="V310" i="2"/>
  <c r="V311" i="2"/>
  <c r="V312" i="2"/>
  <c r="V313" i="2"/>
  <c r="V314" i="2"/>
  <c r="V315" i="2"/>
  <c r="V316" i="2"/>
  <c r="V317" i="2"/>
  <c r="V219"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157" i="2"/>
  <c r="X158" i="2"/>
  <c r="X159" i="2"/>
  <c r="X160" i="2"/>
  <c r="X161" i="2"/>
  <c r="X162" i="2"/>
  <c r="X163" i="2"/>
  <c r="X164" i="2"/>
  <c r="X165" i="2"/>
  <c r="X166" i="2"/>
  <c r="X167" i="2"/>
  <c r="X168" i="2"/>
  <c r="X169" i="2"/>
  <c r="X170" i="2"/>
  <c r="X171" i="2"/>
  <c r="X172" i="2"/>
  <c r="X173" i="2"/>
  <c r="X174" i="2"/>
  <c r="X175" i="2"/>
  <c r="X176" i="2"/>
  <c r="X177" i="2"/>
  <c r="X178" i="2"/>
  <c r="X179" i="2"/>
  <c r="X180" i="2"/>
  <c r="X181" i="2"/>
  <c r="X182" i="2"/>
  <c r="X183" i="2"/>
  <c r="X184" i="2"/>
  <c r="X185" i="2"/>
  <c r="X186" i="2"/>
  <c r="X187" i="2"/>
  <c r="X188" i="2"/>
  <c r="X189" i="2"/>
  <c r="X190" i="2"/>
  <c r="X191" i="2"/>
  <c r="X192" i="2"/>
  <c r="X193" i="2"/>
  <c r="X194" i="2"/>
  <c r="X195" i="2"/>
  <c r="X196" i="2"/>
  <c r="X197" i="2"/>
  <c r="X198" i="2"/>
  <c r="X199" i="2"/>
  <c r="X200" i="2"/>
  <c r="X201" i="2"/>
  <c r="X202" i="2"/>
  <c r="X203" i="2"/>
  <c r="X204" i="2"/>
  <c r="X205" i="2"/>
  <c r="X206" i="2"/>
  <c r="X207" i="2"/>
  <c r="X208" i="2"/>
  <c r="X209" i="2"/>
  <c r="X210" i="2"/>
  <c r="X211" i="2"/>
  <c r="X212"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X114" i="2"/>
  <c r="W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114"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W9" i="2"/>
  <c r="V9" i="2"/>
  <c r="X5" i="3"/>
  <c r="Y21" i="3" s="1"/>
  <c r="X4" i="3"/>
  <c r="Y19" i="3" s="1"/>
  <c r="W4" i="3"/>
  <c r="Y16" i="3" s="1"/>
  <c r="V4" i="3"/>
  <c r="Y6" i="3" s="1"/>
  <c r="S4" i="3"/>
  <c r="T22" i="3" s="1"/>
  <c r="R4" i="3"/>
  <c r="T20" i="3" s="1"/>
  <c r="Q4" i="3"/>
  <c r="T18" i="3" s="1"/>
  <c r="H27" i="6"/>
  <c r="H28" i="6" s="1"/>
  <c r="H29" i="6" s="1"/>
  <c r="H30" i="6" s="1"/>
  <c r="H31" i="6" s="1"/>
  <c r="H32" i="6" s="1"/>
  <c r="H33" i="6" s="1"/>
  <c r="H34" i="6" s="1"/>
  <c r="H35" i="6" s="1"/>
  <c r="H36" i="6" s="1"/>
  <c r="H37" i="6" s="1"/>
  <c r="H38" i="6" s="1"/>
  <c r="H39" i="6" s="1"/>
  <c r="H40" i="6" s="1"/>
  <c r="H41" i="6" s="1"/>
  <c r="H42" i="6" s="1"/>
  <c r="H43" i="6" s="1"/>
  <c r="H44" i="6" s="1"/>
  <c r="H45" i="6" s="1"/>
  <c r="H46" i="6" s="1"/>
  <c r="H47" i="6" s="1"/>
  <c r="H48" i="6" s="1"/>
  <c r="H49" i="6" s="1"/>
  <c r="H50" i="6" s="1"/>
  <c r="H51" i="6" s="1"/>
  <c r="H52" i="6" s="1"/>
  <c r="H53" i="6" s="1"/>
  <c r="H54" i="6" s="1"/>
  <c r="H55" i="6" s="1"/>
  <c r="H56" i="6" s="1"/>
  <c r="H57" i="6" s="1"/>
  <c r="H58" i="6" s="1"/>
  <c r="H59" i="6" s="1"/>
  <c r="H60" i="6" s="1"/>
  <c r="H61" i="6" s="1"/>
  <c r="H62" i="6" s="1"/>
  <c r="H63" i="6" s="1"/>
  <c r="H64" i="6" s="1"/>
  <c r="H65" i="6" s="1"/>
  <c r="H66" i="6" s="1"/>
  <c r="H67" i="6" s="1"/>
  <c r="H68" i="6" s="1"/>
  <c r="H69" i="6" s="1"/>
  <c r="H70" i="6" s="1"/>
  <c r="H71" i="6" s="1"/>
  <c r="H72" i="6" s="1"/>
  <c r="H73" i="6" s="1"/>
  <c r="H74" i="6" s="1"/>
  <c r="H75" i="6" s="1"/>
  <c r="H76" i="6" s="1"/>
  <c r="H77" i="6" s="1"/>
  <c r="H78" i="6" s="1"/>
  <c r="H79" i="6" s="1"/>
  <c r="H80" i="6" s="1"/>
  <c r="H81" i="6" s="1"/>
  <c r="H82" i="6" s="1"/>
  <c r="H83" i="6" s="1"/>
  <c r="H84" i="6" s="1"/>
  <c r="H85" i="6" s="1"/>
  <c r="H86" i="6" s="1"/>
  <c r="B27" i="6"/>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L18" i="1" l="1"/>
  <c r="Y11" i="3"/>
  <c r="Y9" i="3"/>
  <c r="Y8" i="3"/>
  <c r="Y7" i="3"/>
  <c r="Y15" i="3"/>
  <c r="Y10" i="3"/>
  <c r="L20" i="1"/>
  <c r="T12" i="3"/>
  <c r="T14" i="3"/>
  <c r="T13" i="3"/>
  <c r="T17" i="3"/>
  <c r="J115" i="2" l="1"/>
  <c r="B115" i="2"/>
  <c r="J113" i="2"/>
  <c r="B113" i="2"/>
  <c r="B111" i="2"/>
  <c r="J110" i="2"/>
  <c r="L37" i="1" l="1"/>
  <c r="D10" i="1"/>
  <c r="AI22" i="3"/>
  <c r="AI23" i="3"/>
  <c r="AI21" i="3"/>
  <c r="AI17" i="3"/>
  <c r="AI18" i="3"/>
  <c r="AI19" i="3"/>
  <c r="AI20" i="3"/>
  <c r="AI16" i="3"/>
  <c r="AI15" i="3"/>
  <c r="AI14" i="3"/>
  <c r="AI12" i="3"/>
  <c r="AI11" i="3"/>
  <c r="AI9" i="3"/>
  <c r="AI8" i="3"/>
  <c r="AI6" i="3"/>
  <c r="P39" i="3" l="1"/>
  <c r="P38" i="3"/>
  <c r="D18" i="1"/>
  <c r="I43" i="3" l="1"/>
  <c r="J64" i="3"/>
  <c r="J69" i="3"/>
  <c r="J68" i="3"/>
  <c r="J67" i="3"/>
  <c r="J66" i="3"/>
  <c r="J65" i="3"/>
  <c r="I39" i="3"/>
  <c r="P40" i="3"/>
  <c r="Q32" i="3" s="1"/>
  <c r="I38" i="3"/>
  <c r="L26" i="1" s="1"/>
  <c r="I41" i="3"/>
  <c r="I32" i="3"/>
  <c r="I44" i="3"/>
  <c r="I36" i="3"/>
  <c r="I33" i="3"/>
  <c r="I45" i="3"/>
  <c r="I35" i="3"/>
  <c r="I46" i="3"/>
  <c r="I42" i="3"/>
  <c r="B100" i="3" l="1"/>
  <c r="E117" i="3" s="1"/>
  <c r="E102" i="3" l="1"/>
  <c r="L38" i="1" s="1"/>
  <c r="E103" i="3"/>
  <c r="E104" i="3"/>
  <c r="E105" i="3"/>
  <c r="E106" i="3"/>
  <c r="E109" i="3"/>
  <c r="E110" i="3"/>
  <c r="E101" i="3"/>
  <c r="E8" i="1"/>
  <c r="C10" i="1"/>
  <c r="AI10" i="3" s="1"/>
  <c r="L31" i="3"/>
  <c r="AB4" i="3"/>
  <c r="E36" i="3" l="1"/>
  <c r="AN5" i="3"/>
  <c r="AN6" i="3" s="1"/>
  <c r="AN7" i="3" s="1"/>
  <c r="AN27" i="3" s="1"/>
  <c r="J55" i="3"/>
  <c r="J61" i="3"/>
  <c r="J58" i="3"/>
  <c r="J60" i="3"/>
  <c r="J56" i="3"/>
  <c r="J63" i="3"/>
  <c r="J62" i="3"/>
  <c r="J57" i="3"/>
  <c r="J59" i="3"/>
  <c r="E44" i="3"/>
  <c r="E46" i="3"/>
  <c r="E39" i="3"/>
  <c r="E45" i="3"/>
  <c r="E42" i="3"/>
  <c r="E43" i="3"/>
  <c r="E41" i="3"/>
  <c r="E33" i="3"/>
  <c r="E38" i="3"/>
  <c r="L25" i="1" s="1"/>
  <c r="O33" i="3"/>
  <c r="E37" i="3"/>
  <c r="E34" i="3"/>
  <c r="E40" i="3"/>
  <c r="E35" i="3"/>
  <c r="E32" i="3"/>
  <c r="G5" i="3"/>
  <c r="O16" i="3"/>
  <c r="O17" i="3"/>
  <c r="O19" i="3"/>
  <c r="O20" i="3"/>
  <c r="O18" i="3"/>
  <c r="O15" i="3"/>
  <c r="AI7" i="3"/>
  <c r="L10" i="1" s="1"/>
  <c r="AI13" i="3"/>
  <c r="I5" i="3"/>
  <c r="E10" i="1"/>
  <c r="L36" i="1" l="1"/>
  <c r="AN22" i="3"/>
  <c r="AN25" i="3"/>
  <c r="AN26" i="3"/>
  <c r="AN23" i="3"/>
  <c r="AN24" i="3"/>
  <c r="J23" i="3"/>
  <c r="J22" i="3"/>
  <c r="J21" i="3"/>
  <c r="J11" i="3"/>
  <c r="J8" i="3"/>
  <c r="J14" i="3"/>
  <c r="J6" i="3"/>
  <c r="J12" i="3"/>
  <c r="J9" i="3"/>
  <c r="O35" i="3"/>
  <c r="O34" i="3"/>
  <c r="AA4" i="3"/>
  <c r="H5" i="3"/>
  <c r="AD20" i="3" l="1" a="1"/>
  <c r="AD20" i="3" s="1"/>
  <c r="AD12" i="3" a="1"/>
  <c r="AD12" i="3" s="1"/>
  <c r="AD17" i="3" a="1"/>
  <c r="AD17" i="3" s="1"/>
  <c r="AD7" i="3" a="1"/>
  <c r="AD7" i="3" s="1"/>
  <c r="L9" i="1" s="1"/>
  <c r="AD10" i="3" a="1"/>
  <c r="AD10" i="3" s="1"/>
  <c r="AD11" i="3" a="1"/>
  <c r="AD11" i="3" s="1"/>
  <c r="AD14" i="3" a="1"/>
  <c r="AD14" i="3" s="1"/>
  <c r="AD21" i="3" a="1"/>
  <c r="AD21" i="3" s="1"/>
  <c r="AD15" i="3" a="1"/>
  <c r="AD15" i="3" s="1"/>
  <c r="AD6" i="3" a="1"/>
  <c r="AD6" i="3" s="1"/>
  <c r="AD9" i="3" a="1"/>
  <c r="AD9" i="3" s="1"/>
  <c r="AD13" i="3" a="1"/>
  <c r="AD13" i="3" s="1"/>
  <c r="AD19" i="3" a="1"/>
  <c r="AD19" i="3" s="1"/>
  <c r="AD16" i="3" a="1"/>
  <c r="AD16" i="3" s="1"/>
  <c r="AD18" i="3" a="1"/>
  <c r="AD18" i="3" s="1"/>
  <c r="AD22" i="3" a="1"/>
  <c r="AD22" i="3" s="1"/>
  <c r="AD23" i="3" a="1"/>
  <c r="AD23" i="3" s="1"/>
  <c r="AD8" i="3" a="1"/>
  <c r="AD8" i="3" s="1"/>
  <c r="J10" i="3"/>
  <c r="J13" i="3"/>
  <c r="J7" i="3"/>
  <c r="O36" i="3"/>
  <c r="L11" i="1" l="1"/>
  <c r="L12" i="1"/>
  <c r="N32" i="3" a="1"/>
  <c r="N32" i="3" s="1"/>
  <c r="N35" i="3" a="1"/>
  <c r="N35" i="3" s="1"/>
  <c r="R32" i="3"/>
  <c r="N38" i="3" a="1"/>
  <c r="N38" i="3" s="1"/>
  <c r="L13" i="1" l="1"/>
  <c r="L15" i="1" s="1"/>
  <c r="L17" i="1" s="1"/>
  <c r="L19" i="1" s="1"/>
  <c r="L21" i="1" s="1"/>
  <c r="N46" i="3"/>
  <c r="N45" i="3"/>
  <c r="N43" i="3"/>
  <c r="N42" i="3"/>
  <c r="N41" i="3"/>
  <c r="N44" i="3"/>
  <c r="N39" i="3"/>
  <c r="L24" i="1" s="1"/>
  <c r="N36" i="3"/>
  <c r="N33" i="3"/>
  <c r="L27" i="1" l="1"/>
  <c r="E58" i="3"/>
  <c r="E60" i="3"/>
  <c r="E57" i="3"/>
  <c r="E64" i="3"/>
  <c r="E62" i="3"/>
  <c r="E65" i="3"/>
  <c r="E55" i="3"/>
  <c r="E61" i="3"/>
  <c r="E56" i="3"/>
  <c r="E59" i="3"/>
  <c r="E63" i="3"/>
  <c r="L29" i="1" l="1"/>
  <c r="B89" i="3" s="1"/>
  <c r="I96" i="3" s="1"/>
  <c r="B90" i="3" l="1"/>
  <c r="F96" i="3" s="1"/>
  <c r="I95" i="3"/>
  <c r="I94" i="3"/>
  <c r="F94" i="3" l="1"/>
  <c r="F93" i="3"/>
  <c r="F95" i="3"/>
  <c r="M82" i="3"/>
  <c r="M86" i="3"/>
  <c r="M81" i="3"/>
  <c r="L33" i="1" s="1"/>
  <c r="M88" i="3"/>
  <c r="M85" i="3"/>
  <c r="M83" i="3"/>
  <c r="M84" i="3"/>
  <c r="M87" i="3"/>
  <c r="M91" i="3"/>
  <c r="M80" i="3"/>
  <c r="M78" i="3"/>
  <c r="M79" i="3"/>
  <c r="L32" i="1" l="1"/>
  <c r="L34" i="1" l="1"/>
  <c r="L4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<sst xmlns="http://schemas.openxmlformats.org/spreadsheetml/2006/main" count="497" uniqueCount="208">
  <si>
    <t xml:space="preserve"> </t>
  </si>
  <si>
    <t>Enveloppe Achat-Construction</t>
  </si>
  <si>
    <t>Possibilité de retirer cette section ultérieurement</t>
  </si>
  <si>
    <t>Enveloppe Mobilier-Équipement</t>
  </si>
  <si>
    <t>Enveloppe Aménagement Extérieur</t>
  </si>
  <si>
    <t>Enveloppe Honoraire professionnels - Élément 1</t>
  </si>
  <si>
    <t>Enveloppe Jeux Extérieurs</t>
  </si>
  <si>
    <t xml:space="preserve"> Annexe 2</t>
  </si>
  <si>
    <t>Poupons</t>
  </si>
  <si>
    <t>Annexe 3</t>
  </si>
  <si>
    <t>Annexe 4</t>
  </si>
  <si>
    <t>Facteur selon la durée du bail</t>
  </si>
  <si>
    <t>Élément 1</t>
  </si>
  <si>
    <t>Élément 2</t>
  </si>
  <si>
    <t>Élément 3</t>
  </si>
  <si>
    <t>% de l'enveloppe Achat-Construction ajusté selon l'indice régional de modulation</t>
  </si>
  <si>
    <t>5 ans ou plus avant fin de bail + option renouv. 5 ans</t>
  </si>
  <si>
    <t>Pour A) Nouvelles places ou sinistres</t>
  </si>
  <si>
    <t>Nombre de places subventionnée(s)</t>
  </si>
  <si>
    <t>Montant maximal Achat-Construction</t>
  </si>
  <si>
    <t>Montant maximal pour une salle multifonctionnelle</t>
  </si>
  <si>
    <t>#</t>
  </si>
  <si>
    <t>Région administrative</t>
  </si>
  <si>
    <t>Indice</t>
  </si>
  <si>
    <t>Durée du bail 10 ans ou plus</t>
  </si>
  <si>
    <t>Montant de base</t>
  </si>
  <si>
    <t>Bas-Saint-Laurent</t>
  </si>
  <si>
    <t>Saguenay-Lac-St-Jean</t>
  </si>
  <si>
    <t>Capitale-Nationale</t>
  </si>
  <si>
    <t>Mauricie</t>
  </si>
  <si>
    <t>Mauricie (sauf la région de la Tuque)</t>
  </si>
  <si>
    <t>Région de la Tuque</t>
  </si>
  <si>
    <t>Estrie</t>
  </si>
  <si>
    <t>Enveloppe Honoraire professionnels - Élément 2</t>
  </si>
  <si>
    <t>Montréal</t>
  </si>
  <si>
    <t>Outaouais</t>
  </si>
  <si>
    <t>Abitibi-Témiscamingue</t>
  </si>
  <si>
    <t>Côte-Nord</t>
  </si>
  <si>
    <t>Rivière Saguenay à rivière Moisie</t>
  </si>
  <si>
    <t>Rivière Moisie à Pointe-Parent et Fermont</t>
  </si>
  <si>
    <t>Est de Pointe-Parent et Schefferville</t>
  </si>
  <si>
    <t>Nord-du-Québec</t>
  </si>
  <si>
    <t>Nord-du-Québec (sauf les régions de Chibougamau et du Nunavik)</t>
  </si>
  <si>
    <t>Région de Chibougamau</t>
  </si>
  <si>
    <t>Région du Nunavik</t>
  </si>
  <si>
    <t>Gaspésie-Iles-de-la-Madeleine</t>
  </si>
  <si>
    <t>Gaspésie</t>
  </si>
  <si>
    <t>Iles-de-la-Madeleine</t>
  </si>
  <si>
    <t>Chaudière-Appalaches</t>
  </si>
  <si>
    <t>Laval</t>
  </si>
  <si>
    <t>Lanaudière</t>
  </si>
  <si>
    <t>Laurentides</t>
  </si>
  <si>
    <t>Laurentides (sauf la MRC d'Antoine-Labelle)</t>
  </si>
  <si>
    <t>MRC d'Antoine-Labelle</t>
  </si>
  <si>
    <t>Montérégie</t>
  </si>
  <si>
    <t>Centre-du-Québec</t>
  </si>
  <si>
    <t>Agrandissement d'une installation - moins de 20 places</t>
  </si>
  <si>
    <t>Coût m²</t>
  </si>
  <si>
    <t>2022-2023</t>
  </si>
  <si>
    <t>Pour B) Changement d'emplacement avec nouvelles places allouées</t>
  </si>
  <si>
    <t>Montant de base (si nbr. places passe de &lt;=40 à &gt;=41 places)</t>
  </si>
  <si>
    <t>2023-2024</t>
  </si>
  <si>
    <t>Pour C) Changement d'emplacement sans nouvelles places allouées</t>
  </si>
  <si>
    <t>Montant alloué si enfants &lt;= 59 mois</t>
  </si>
  <si>
    <t>Hypothèses</t>
  </si>
  <si>
    <t>Places avant</t>
  </si>
  <si>
    <t>Nouvelles places</t>
  </si>
  <si>
    <t>Places après</t>
  </si>
  <si>
    <t>0-17 mois</t>
  </si>
  <si>
    <t>18 mois et plus</t>
  </si>
  <si>
    <t>Total</t>
  </si>
  <si>
    <t>Financement travaux de rénovation (G77)</t>
  </si>
  <si>
    <t>Nouv. Places</t>
  </si>
  <si>
    <t>après</t>
  </si>
  <si>
    <t>5.1 Financement de la construction d'une installation</t>
  </si>
  <si>
    <t>5.1 Financement de la construction d'une installation - Reloc. + nouvelles places</t>
  </si>
  <si>
    <t>Avant</t>
  </si>
  <si>
    <t>5.1 Financement de la construction d'une installation - Reloc. sans nouvelles places</t>
  </si>
  <si>
    <t xml:space="preserve">5.2 Financement de l'acquisition d'une installation </t>
  </si>
  <si>
    <t>5.2 Financement de l'acquisition  d'une installation - Reloc. + nouvelles places</t>
  </si>
  <si>
    <t>5.2 Financement de l'acquisition  d'une installation - Reloc. sans nouvelles places</t>
  </si>
  <si>
    <t xml:space="preserve">5.3 Financement des améliorations locatives </t>
  </si>
  <si>
    <t>5.3 Financement des améliorations locatives - Changement de localisation</t>
  </si>
  <si>
    <t>5.4 Financement de l'agrandissement d'une installation - Propriétaire</t>
  </si>
  <si>
    <t>5.4.1 Financement de l'agrandissement d'une installation - Propriétaire</t>
  </si>
  <si>
    <t>5.5 Financement de l'agrandissement d'une installation - Locataire</t>
  </si>
  <si>
    <t>5.5.1 Financement de l'agrandissement d'une installation - Locataire</t>
  </si>
  <si>
    <t>5.6 Financement du réaménagement d'une installation + aug. nombres de places - Propriétaire</t>
  </si>
  <si>
    <t>5.7 Financement du réaménagement d'une installation + aug. nombres de places - Locataire</t>
  </si>
  <si>
    <t>5.8 Financement des rénovations d'une installation - Propriétaire</t>
  </si>
  <si>
    <t>5.9 Financement des rénovations d'une installation - Locataire</t>
  </si>
  <si>
    <t>5.10 Conditions particulières pour le CPE locataire qui désire acheter l'installation qu'il loue</t>
  </si>
  <si>
    <t>Groupe de 40 places</t>
  </si>
  <si>
    <t>Groupe complet</t>
  </si>
  <si>
    <t>0-18</t>
  </si>
  <si>
    <t>18-59</t>
  </si>
  <si>
    <t>5.1 Financement de la construction d'une installation - Reloc + nouv. Places</t>
  </si>
  <si>
    <t>5.1 Financement de la construction d'une installation - Reloc. Sans nouv. Places</t>
  </si>
  <si>
    <t xml:space="preserve">5.2 Financement de la construction d'une installation </t>
  </si>
  <si>
    <t>5.2 Financement de la construction d'une installation - Reloc. + nouv. Places</t>
  </si>
  <si>
    <t>5.2 Financement de la construction d'une installation - Reloc. Sans nouv. Places</t>
  </si>
  <si>
    <t>Honoraires professionnels</t>
  </si>
  <si>
    <t>Chargé de projet</t>
  </si>
  <si>
    <t>Montants de référence</t>
  </si>
  <si>
    <t>Bail en location</t>
  </si>
  <si>
    <t>Financement selon le PFI</t>
  </si>
  <si>
    <t>Montants</t>
  </si>
  <si>
    <t>Enveloppe achat-construction</t>
  </si>
  <si>
    <t>Montant de l'annexe 2</t>
  </si>
  <si>
    <t>Nombre de places 17 mois ou moins (poupons)</t>
  </si>
  <si>
    <t xml:space="preserve">Sous-total </t>
  </si>
  <si>
    <t>Salle multifonctionnelle selon l’annexe 3</t>
  </si>
  <si>
    <t xml:space="preserve">Total avant indice régional de modulation </t>
  </si>
  <si>
    <t xml:space="preserve">Indice régional de modulation </t>
  </si>
  <si>
    <t xml:space="preserve">Facteur selon la durée du bail </t>
  </si>
  <si>
    <t>Enveloppe maximale achat-construction</t>
  </si>
  <si>
    <t xml:space="preserve">Enveloppe mobilier-équipement </t>
  </si>
  <si>
    <t>Enveloppe aménagement extérieur</t>
  </si>
  <si>
    <t>Enveloppe jeux extérieurs</t>
  </si>
  <si>
    <t>Enveloppe pour l'intégration des arts à l'architecture</t>
  </si>
  <si>
    <t>Facteur selon la nature des travaux</t>
  </si>
  <si>
    <t>Facteur selon durée restante de l'emphytéose</t>
  </si>
  <si>
    <t>Enveloppe maximale mobilier équipement</t>
  </si>
  <si>
    <r>
      <t>Élément 1</t>
    </r>
    <r>
      <rPr>
        <b/>
        <sz val="8"/>
        <rFont val="Arial"/>
        <family val="2"/>
      </rPr>
      <t xml:space="preserve"> - </t>
    </r>
    <r>
      <rPr>
        <sz val="8"/>
        <rFont val="Arial"/>
        <family val="2"/>
      </rPr>
      <t>Montant de base pour un groupe complet</t>
    </r>
  </si>
  <si>
    <r>
      <t>Élément 2</t>
    </r>
    <r>
      <rPr>
        <b/>
        <sz val="8"/>
        <rFont val="Arial"/>
        <family val="2"/>
      </rPr>
      <t xml:space="preserve"> - </t>
    </r>
    <r>
      <rPr>
        <sz val="8"/>
        <rFont val="Arial"/>
        <family val="2"/>
      </rPr>
      <t>Montant pour chacune des places groupe complet (0-59)</t>
    </r>
  </si>
  <si>
    <r>
      <t>Élément 3</t>
    </r>
    <r>
      <rPr>
        <b/>
        <sz val="8"/>
        <rFont val="Arial"/>
        <family val="2"/>
      </rPr>
      <t xml:space="preserve"> - </t>
    </r>
    <r>
      <rPr>
        <sz val="8"/>
        <rFont val="Arial"/>
        <family val="2"/>
      </rPr>
      <t>Montant pour chacune des places groupe complet (0-18)</t>
    </r>
  </si>
  <si>
    <t>Enveloppe honoraires professionnels</t>
  </si>
  <si>
    <r>
      <t xml:space="preserve">Élément 1 - </t>
    </r>
    <r>
      <rPr>
        <sz val="9"/>
        <rFont val="Arial"/>
        <family val="2"/>
      </rPr>
      <t xml:space="preserve">Honoraires professionnels </t>
    </r>
  </si>
  <si>
    <r>
      <t xml:space="preserve">Élément 2 - </t>
    </r>
    <r>
      <rPr>
        <sz val="9"/>
        <rFont val="Arial"/>
        <family val="2"/>
      </rPr>
      <t>Chargé de projet</t>
    </r>
  </si>
  <si>
    <t>Enveloppe maximale honoraires professionnels</t>
  </si>
  <si>
    <t>Enveloppe terrain</t>
  </si>
  <si>
    <t>Financement du terrain et des infrastructures (F222)</t>
  </si>
  <si>
    <t>Enveloppe Achat construction:</t>
  </si>
  <si>
    <t>Enveloppe mobilier équipement:</t>
  </si>
  <si>
    <t>Enveloppe aménagement extérieur;</t>
  </si>
  <si>
    <t xml:space="preserve">Mobilier et équipement - Élément 2 </t>
  </si>
  <si>
    <t xml:space="preserve">Mobilier et équipement - Élément 3 </t>
  </si>
  <si>
    <t xml:space="preserve">Mobilier et équipement - Élément 1 </t>
  </si>
  <si>
    <t>5.3 Financement des améliorations locatives - Reloc. + nouvelles places</t>
  </si>
  <si>
    <t>5.3 Financement des améliorations locatives - Reloc. sans nouvelles places</t>
  </si>
  <si>
    <t xml:space="preserve">Montant de base avant nouvelles places </t>
  </si>
  <si>
    <t xml:space="preserve">Contrat de location </t>
  </si>
  <si>
    <t xml:space="preserve">Bail emphytéotique </t>
  </si>
  <si>
    <t xml:space="preserve">Montant de base après nouvelles places </t>
  </si>
  <si>
    <t xml:space="preserve">Financement des équipements de jeux extérieurs </t>
  </si>
  <si>
    <t xml:space="preserve">Aménagement extérieur  </t>
  </si>
  <si>
    <t xml:space="preserve">Salle multifonctionnelle </t>
  </si>
  <si>
    <t>Montant de base poupons</t>
  </si>
  <si>
    <t>Chargé de projet - Élément 2</t>
  </si>
  <si>
    <t>Nouvelles places ou victimes sinistres</t>
  </si>
  <si>
    <t>Changement d'emplacement - montant lié aux nbr. places avant</t>
  </si>
  <si>
    <t>Ajout 1057$, si enfants &lt;= 17 mois</t>
  </si>
  <si>
    <t>Changement d'emplacement - montant lié aux nouv. places</t>
  </si>
  <si>
    <t>9,00 % du coût estimé du projet</t>
  </si>
  <si>
    <t>3 % du coût estimé du projet</t>
  </si>
  <si>
    <t>2024-2025</t>
  </si>
  <si>
    <t xml:space="preserve">Document interne </t>
  </si>
  <si>
    <t>Annexe III</t>
  </si>
  <si>
    <t>Bail en emphytéose</t>
  </si>
  <si>
    <t>Duré restante du bail</t>
  </si>
  <si>
    <t>Facteur
R 5.1</t>
  </si>
  <si>
    <t>Facteur
R 5.6</t>
  </si>
  <si>
    <t>Facteur
R 5.8</t>
  </si>
  <si>
    <t>Facteur
R 5.4</t>
  </si>
  <si>
    <t>Facteur
R 5.7</t>
  </si>
  <si>
    <t>Facteur
R 5.3 5.5</t>
  </si>
  <si>
    <t>Total des enveloppes (financment du Ministère)</t>
  </si>
  <si>
    <t>2025-2026</t>
  </si>
  <si>
    <t>Ajout 1088$, si enfants &lt;= 59 mois</t>
  </si>
  <si>
    <t>Ajout 1088$, si enfants &lt;= 17 mois</t>
  </si>
  <si>
    <t>Coût du projet</t>
  </si>
  <si>
    <t>Élément 1</t>
  </si>
  <si>
    <r>
      <t xml:space="preserve">Moins de </t>
    </r>
    <r>
      <rPr>
        <b/>
        <sz val="9"/>
        <rFont val="Calibri"/>
        <family val="2"/>
      </rPr>
      <t>626 000 $</t>
    </r>
  </si>
  <si>
    <r>
      <t xml:space="preserve">Entre </t>
    </r>
    <r>
      <rPr>
        <b/>
        <sz val="9"/>
        <rFont val="Calibri"/>
        <family val="2"/>
      </rPr>
      <t>626 000 $</t>
    </r>
    <r>
      <rPr>
        <sz val="9"/>
        <rFont val="Calibri"/>
        <family val="2"/>
      </rPr>
      <t xml:space="preserve"> et </t>
    </r>
    <r>
      <rPr>
        <b/>
        <sz val="9"/>
        <rFont val="Calibri"/>
        <family val="2"/>
      </rPr>
      <t>1 252 000 $</t>
    </r>
  </si>
  <si>
    <r>
      <rPr>
        <b/>
        <sz val="9"/>
        <rFont val="Calibri"/>
        <family val="2"/>
      </rPr>
      <t>56 340 </t>
    </r>
    <r>
      <rPr>
        <sz val="9"/>
        <rFont val="Calibri"/>
        <family val="2"/>
      </rPr>
      <t xml:space="preserve">$ plus 7,20 % de l’excédent de </t>
    </r>
    <r>
      <rPr>
        <b/>
        <sz val="9"/>
        <rFont val="Calibri"/>
        <family val="2"/>
      </rPr>
      <t>626 000 $</t>
    </r>
  </si>
  <si>
    <r>
      <t xml:space="preserve">Entre </t>
    </r>
    <r>
      <rPr>
        <b/>
        <sz val="9"/>
        <rFont val="Calibri"/>
        <family val="2"/>
      </rPr>
      <t>1 252 000 $</t>
    </r>
    <r>
      <rPr>
        <sz val="9"/>
        <rFont val="Calibri"/>
        <family val="2"/>
      </rPr>
      <t xml:space="preserve"> et </t>
    </r>
    <r>
      <rPr>
        <b/>
        <sz val="9"/>
        <rFont val="Calibri"/>
        <family val="2"/>
      </rPr>
      <t>2 608 000 $</t>
    </r>
  </si>
  <si>
    <r>
      <rPr>
        <b/>
        <sz val="9"/>
        <rFont val="Calibri"/>
        <family val="2"/>
      </rPr>
      <t>101 412 $</t>
    </r>
    <r>
      <rPr>
        <sz val="9"/>
        <rFont val="Calibri"/>
        <family val="2"/>
      </rPr>
      <t xml:space="preserve"> plus 6,30 % de l’excédent de </t>
    </r>
    <r>
      <rPr>
        <b/>
        <sz val="9"/>
        <rFont val="Calibri"/>
        <family val="2"/>
      </rPr>
      <t>1 252 000 $</t>
    </r>
  </si>
  <si>
    <r>
      <t xml:space="preserve">Plus de  </t>
    </r>
    <r>
      <rPr>
        <b/>
        <sz val="9"/>
        <rFont val="Calibri"/>
        <family val="2"/>
      </rPr>
      <t>2 608 000 $</t>
    </r>
  </si>
  <si>
    <r>
      <rPr>
        <b/>
        <sz val="9"/>
        <rFont val="Calibri"/>
        <family val="2"/>
      </rPr>
      <t>186 840 $</t>
    </r>
    <r>
      <rPr>
        <sz val="9"/>
        <rFont val="Calibri"/>
        <family val="2"/>
      </rPr>
      <t xml:space="preserve"> plus 5,76 % de l’excédent de </t>
    </r>
    <r>
      <rPr>
        <b/>
        <sz val="9"/>
        <rFont val="Calibri"/>
        <family val="2"/>
      </rPr>
      <t>2 608 000 $</t>
    </r>
  </si>
  <si>
    <t>Élément 2</t>
  </si>
  <si>
    <r>
      <t xml:space="preserve">Moins de </t>
    </r>
    <r>
      <rPr>
        <b/>
        <sz val="9"/>
        <color theme="1"/>
        <rFont val="Calibri"/>
        <family val="2"/>
      </rPr>
      <t>1 565 000 $</t>
    </r>
  </si>
  <si>
    <r>
      <t xml:space="preserve">Entre </t>
    </r>
    <r>
      <rPr>
        <b/>
        <sz val="9"/>
        <color theme="1"/>
        <rFont val="Calibri"/>
        <family val="2"/>
      </rPr>
      <t>1 565 000 $</t>
    </r>
    <r>
      <rPr>
        <sz val="9"/>
        <color theme="1"/>
        <rFont val="Calibri"/>
        <family val="2"/>
      </rPr>
      <t xml:space="preserve"> et </t>
    </r>
    <r>
      <rPr>
        <b/>
        <sz val="9"/>
        <color theme="1"/>
        <rFont val="Calibri"/>
        <family val="2"/>
      </rPr>
      <t>3 130 000 $</t>
    </r>
  </si>
  <si>
    <r>
      <rPr>
        <b/>
        <sz val="9"/>
        <color theme="1"/>
        <rFont val="Calibri"/>
        <family val="2"/>
      </rPr>
      <t>46 950 $</t>
    </r>
    <r>
      <rPr>
        <sz val="9"/>
        <color theme="1"/>
        <rFont val="Calibri"/>
        <family val="2"/>
      </rPr>
      <t xml:space="preserve">, plus 2 % de l’excédent de </t>
    </r>
    <r>
      <rPr>
        <b/>
        <sz val="9"/>
        <color theme="1"/>
        <rFont val="Calibri"/>
        <family val="2"/>
      </rPr>
      <t>1 565 000 $</t>
    </r>
  </si>
  <si>
    <r>
      <t xml:space="preserve">Plus de </t>
    </r>
    <r>
      <rPr>
        <b/>
        <sz val="9"/>
        <color theme="1"/>
        <rFont val="Calibri"/>
        <family val="2"/>
      </rPr>
      <t>3 130 000 $</t>
    </r>
  </si>
  <si>
    <t xml:space="preserve">Ajout 1088$ pour chaque nouv places </t>
  </si>
  <si>
    <t>Ajout 273$, pour enfants &lt;= 59 mois avant augmentation</t>
  </si>
  <si>
    <t>Ajout 1088$, si enfants &lt;= 17 mois (nouv places)</t>
  </si>
  <si>
    <t>Ajout 273$, si enfants &lt;= 59 mois</t>
  </si>
  <si>
    <t>Règles Budgétaires PFI 2025-2026</t>
  </si>
  <si>
    <t>Dernière MAJ 2025-03-20</t>
  </si>
  <si>
    <t/>
  </si>
  <si>
    <t>Ajustement pour les installations de 18 places ou moins (agrand,réam)</t>
  </si>
  <si>
    <t>Minimum entre 19 places et le nombre de places après ajout des nouvelles places</t>
  </si>
  <si>
    <t>Moins</t>
  </si>
  <si>
    <t>Nombre de places avant l'ajout de nouvelles places</t>
  </si>
  <si>
    <t>Différence</t>
  </si>
  <si>
    <t>Montant d'ajustement</t>
  </si>
  <si>
    <t>Ajustement pour les installations de 18 places ou moins (agr. Réam.) (F73)</t>
  </si>
  <si>
    <r>
      <rPr>
        <b/>
        <sz val="9"/>
        <color theme="1"/>
        <rFont val="Calibri"/>
        <family val="2"/>
      </rPr>
      <t>78 250 $</t>
    </r>
    <r>
      <rPr>
        <sz val="9"/>
        <color theme="1"/>
        <rFont val="Calibri"/>
        <family val="2"/>
      </rPr>
      <t xml:space="preserve">, plus 1,50 % de l’excédent de </t>
    </r>
    <r>
      <rPr>
        <b/>
        <sz val="9"/>
        <color theme="1"/>
        <rFont val="Calibri"/>
        <family val="2"/>
      </rPr>
      <t>3 130 000 $</t>
    </r>
  </si>
  <si>
    <t>Dans le cadre du Programme de financement des infrastructures (PFI), le calcul des enveloppes de financement doit être réalisé selon les paramètres définis dans les règles budgétaires en vigueur. Ce calcul nécessite une compréhension rigoureuse des barèmes établis, des limites de financement admissibles et des particularités de chaque projet.</t>
  </si>
  <si>
    <t>Nombre de places</t>
  </si>
  <si>
    <t>Si oui, durée restante</t>
  </si>
  <si>
    <t>Enveloppe intégration des arts à l'architecture (montant MCC)</t>
  </si>
  <si>
    <t>Oui</t>
  </si>
  <si>
    <t>Non</t>
  </si>
  <si>
    <t>Salle multifonctionnelle</t>
  </si>
  <si>
    <r>
      <t>Le présent outil a été conçu pour faciliter ce calcul . Vous devez remplir les cases bleues selon votre situation. Certaines cases contiennent des listes déroulantes.
Toutes les informations et le détail du calcul se trouvent dans les règles budgétaires du PFI.
Note:
Si la salle multifonctionnelle est admissible au financement, l'outil prend pour hypothèse que celui-ci correspond au maximum autorisé. Ainsi, si la superficie de la salle est inférieure à celles indiquées dans les règles administratives, sans être en deçà de 27,9 m</t>
    </r>
    <r>
      <rPr>
        <b/>
        <sz val="12"/>
        <color theme="1"/>
        <rFont val="Calibri"/>
        <family val="2"/>
        <scheme val="minor"/>
      </rPr>
      <t xml:space="preserve">2,  </t>
    </r>
    <r>
      <rPr>
        <b/>
        <sz val="14"/>
        <color theme="1"/>
        <rFont val="Calibri"/>
        <family val="2"/>
        <scheme val="minor"/>
      </rPr>
      <t xml:space="preserve">le financement sera ajusté.
</t>
    </r>
  </si>
  <si>
    <t>Bail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</si>
</sst>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quot;$&quot;#,##0.00_);\(&quot;$&quot;#,##0.00\)"/>
    <numFmt numFmtId="165" formatCode="_(&quot;$&quot;* #,##0_);_(&quot;$&quot;* \(#,##0\);_(&quot;$&quot;* &quot;-&quot;_);_(@_)"/>
    <numFmt numFmtId="166" formatCode="_(&quot;$&quot;* #,##0.00_);_(&quot;$&quot;* \(#,##0.00\);_(&quot;$&quot;* &quot;-&quot;??_);_(@_)"/>
    <numFmt numFmtId="167" formatCode="_(* #,##0.00_);_(* \(#,##0.00\);_(* &quot;-&quot;??_);_(@_)"/>
    <numFmt numFmtId="168" formatCode="_ * #,##0_)\ &quot;$&quot;_ ;_ * \(#,##0\)\ &quot;$&quot;_ ;_ * &quot;-&quot;??_)\ &quot;$&quot;_ ;_ @_ "/>
    <numFmt numFmtId="169" formatCode="0.000"/>
    <numFmt numFmtId="170" formatCode="0.0%"/>
    <numFmt numFmtId="171" formatCode="#,##0.00\ &quot;$&quot;"/>
    <numFmt numFmtId="172" formatCode="_ * #,##0.00_)\ _$_ ;_ * \(#,##0.00\)\ _$_ ;_ * &quot;-&quot;??_)\ _$_ ;_ @_ "/>
    <numFmt numFmtId="173" formatCode="0&quot; &quot;&quot;Places&quot;"/>
    <numFmt numFmtId="174" formatCode="0&quot; &quot;&quot;ans&quot;"/>
    <numFmt numFmtId="175" formatCode="#,##0.00\ _$_);\(#,##0.00\ _$\)"/>
    <numFmt numFmtId="176" formatCode="#,##0.0_);\(#,##0.0\)"/>
    <numFmt numFmtId="177" formatCode="0&quot; &quot;&quot;places&quot;"/>
  </numFmts>
  <fonts count="3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0"/>
      <name val="Arial"/>
      <family val="2"/>
    </font>
    <font>
      <b/>
      <sz val="8"/>
      <name val="Arial"/>
      <family val="2"/>
    </font>
    <font>
      <sz val="10"/>
      <name val="Arial"/>
      <family val="2"/>
    </font>
    <font>
      <sz val="10"/>
      <color theme="1"/>
      <name val="Arial"/>
      <family val="2"/>
    </font>
    <font>
      <sz val="10"/>
      <color theme="3" tint="-0.249977111117893"/>
      <name val="Arial"/>
      <family val="2"/>
    </font>
    <font>
      <sz val="8"/>
      <name val="Arial"/>
      <family val="2"/>
    </font>
    <font>
      <sz val="8.5"/>
      <name val="Arial"/>
      <family val="2"/>
    </font>
    <font>
      <u/>
      <sz val="8"/>
      <name val="Arial"/>
      <family val="2"/>
    </font>
    <font>
      <sz val="8"/>
      <name val="Cambria"/>
      <family val="1"/>
    </font>
    <font>
      <b/>
      <sz val="8"/>
      <name val="Cambria"/>
      <family val="1"/>
    </font>
    <font>
      <b/>
      <u/>
      <sz val="11"/>
      <color theme="1"/>
      <name val="Calibri"/>
      <family val="2"/>
      <scheme val="minor"/>
    </font>
    <font>
      <b/>
      <sz val="10"/>
      <color theme="1"/>
      <name val="Arial"/>
      <family val="2"/>
    </font>
    <font>
      <b/>
      <sz val="9"/>
      <name val="Arial"/>
      <family val="2"/>
    </font>
    <font>
      <sz val="9"/>
      <name val="Arial"/>
      <family val="2"/>
    </font>
    <font>
      <b/>
      <sz val="20"/>
      <color theme="1"/>
      <name val="Calibri"/>
      <family val="2"/>
      <scheme val="minor"/>
    </font>
    <font>
      <sz val="6.5"/>
      <color indexed="9"/>
      <name val="Arial"/>
      <family val="2"/>
    </font>
    <font>
      <sz val="9"/>
      <color indexed="9"/>
      <name val="Arial"/>
      <family val="2"/>
    </font>
    <font>
      <b/>
      <sz val="22"/>
      <color indexed="9"/>
      <name val="Arial"/>
      <family val="2"/>
    </font>
    <font>
      <sz val="11"/>
      <name val="Arial"/>
      <family val="2"/>
    </font>
    <font>
      <b/>
      <sz val="8"/>
      <color indexed="9"/>
      <name val="Comic Sans MS"/>
      <family val="4"/>
    </font>
    <font>
      <sz val="8"/>
      <name val="Comic Sans MS"/>
      <family val="4"/>
    </font>
    <font>
      <sz val="8"/>
      <name val="Calibri"/>
      <family val="2"/>
      <scheme val="minor"/>
    </font>
    <font>
      <sz val="10"/>
      <name val="Calibri"/>
      <family val="2"/>
    </font>
    <font>
      <sz val="9"/>
      <name val="Calibri"/>
      <family val="2"/>
    </font>
    <font>
      <b/>
      <sz val="9"/>
      <name val="Calibri"/>
      <family val="2"/>
    </font>
    <font>
      <b/>
      <sz val="10"/>
      <color theme="0"/>
      <name val="Calibri"/>
      <family val="2"/>
    </font>
    <font>
      <sz val="9"/>
      <color theme="1"/>
      <name val="Calibri"/>
      <family val="2"/>
    </font>
    <font>
      <b/>
      <sz val="9"/>
      <color theme="1"/>
      <name val="Calibri"/>
      <family val="2"/>
    </font>
    <font>
      <sz val="11"/>
      <name val="Calibri"/>
      <family val="2"/>
      <scheme val="minor"/>
    </font>
    <font>
      <b/>
      <sz val="14"/>
      <color theme="1"/>
      <name val="Calibri"/>
      <family val="2"/>
      <scheme val="minor"/>
    </font>
    <font>
      <b/>
      <sz val="12"/>
      <color theme="1"/>
      <name val="Calibri"/>
      <family val="2"/>
      <scheme val="minor"/>
    </font>
  </fonts>
  <fills count="1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indexed="9"/>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tint="0.79998168889431442"/>
        <bgColor indexed="64"/>
      </patternFill>
    </fill>
    <fill>
      <patternFill patternType="solid">
        <fgColor indexed="12"/>
        <bgColor indexed="64"/>
      </patternFill>
    </fill>
    <fill>
      <patternFill patternType="solid">
        <fgColor theme="4" tint="0.59999389629810485"/>
        <bgColor indexed="64"/>
      </patternFill>
    </fill>
    <fill>
      <patternFill patternType="solid">
        <fgColor rgb="FF00B0F0"/>
        <bgColor indexed="64"/>
      </patternFill>
    </fill>
    <fill>
      <patternFill patternType="solid">
        <fgColor theme="7" tint="0.79998168889431442"/>
        <bgColor indexed="64"/>
      </patternFill>
    </fill>
  </fills>
  <borders count="5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auto="1"/>
      </left>
      <right/>
      <top style="thin">
        <color auto="1"/>
      </top>
      <bottom/>
      <diagonal/>
    </border>
    <border>
      <left style="thin">
        <color indexed="64"/>
      </left>
      <right/>
      <top/>
      <bottom/>
      <diagonal/>
    </border>
    <border>
      <left/>
      <right/>
      <top/>
      <bottom style="medium">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thin">
        <color rgb="FF00B0F0"/>
      </bottom>
      <diagonal/>
    </border>
    <border>
      <left/>
      <right style="thin">
        <color rgb="FF00B0F0"/>
      </right>
      <top style="thin">
        <color rgb="FF00B0F0"/>
      </top>
      <bottom style="thin">
        <color rgb="FF00B0F0"/>
      </bottom>
      <diagonal/>
    </border>
    <border>
      <left/>
      <right style="thin">
        <color rgb="FF00B0F0"/>
      </right>
      <top/>
      <bottom style="thin">
        <color rgb="FF00B0F0"/>
      </bottom>
      <diagonal/>
    </border>
    <border>
      <left/>
      <right style="thin">
        <color rgb="FF00B0F0"/>
      </right>
      <top/>
      <bottom/>
      <diagonal/>
    </border>
    <border>
      <left style="thin">
        <color theme="8"/>
      </left>
      <right/>
      <top style="thin">
        <color theme="8"/>
      </top>
      <bottom style="thin">
        <color rgb="FF00B0F0"/>
      </bottom>
      <diagonal/>
    </border>
    <border>
      <left/>
      <right style="thin">
        <color theme="8"/>
      </right>
      <top style="thin">
        <color theme="8"/>
      </top>
      <bottom/>
      <diagonal/>
    </border>
    <border>
      <left style="thin">
        <color theme="8"/>
      </left>
      <right style="thin">
        <color rgb="FF00B0F0"/>
      </right>
      <top style="thin">
        <color rgb="FF00B0F0"/>
      </top>
      <bottom style="thin">
        <color rgb="FF00B0F0"/>
      </bottom>
      <diagonal/>
    </border>
    <border>
      <left style="thin">
        <color theme="8"/>
      </left>
      <right style="thin">
        <color rgb="FF00B0F0"/>
      </right>
      <top style="thin">
        <color theme="8"/>
      </top>
      <bottom style="thin">
        <color rgb="FF00B0F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6" fillId="0" borderId="0"/>
    <xf numFmtId="9" fontId="6" fillId="0" borderId="0" applyFont="0" applyFill="0" applyBorder="0" applyAlignment="0" applyProtection="0"/>
    <xf numFmtId="172" fontId="6" fillId="0" borderId="0" applyFont="0" applyFill="0" applyBorder="0" applyAlignment="0" applyProtection="0"/>
  </cellStyleXfs>
  <cellXfs count="299">
    <xf numFmtId="0" fontId="0" fillId="0" borderId="0" xfId="0"/>
    <xf numFmtId="0" fontId="4" fillId="0" borderId="0" xfId="0" applyFont="1"/>
    <xf numFmtId="0" fontId="0" fillId="2" borderId="0" xfId="0" applyFill="1"/>
    <xf numFmtId="0" fontId="5" fillId="0" borderId="0" xfId="0" applyFont="1"/>
    <xf numFmtId="0" fontId="4" fillId="2" borderId="0" xfId="0" applyFont="1" applyFill="1" applyAlignment="1">
      <alignment horizontal="center"/>
    </xf>
    <xf numFmtId="168" fontId="0" fillId="0" borderId="0" xfId="0" applyNumberFormat="1"/>
    <xf numFmtId="0" fontId="7" fillId="0" borderId="0" xfId="0" applyFont="1"/>
    <xf numFmtId="168" fontId="0" fillId="0" borderId="0" xfId="2" applyNumberFormat="1" applyFont="1"/>
    <xf numFmtId="168" fontId="0" fillId="0" borderId="0" xfId="2" applyNumberFormat="1" applyFont="1" applyFill="1"/>
    <xf numFmtId="10" fontId="0" fillId="0" borderId="0" xfId="3" applyNumberFormat="1" applyFont="1"/>
    <xf numFmtId="9" fontId="0" fillId="0" borderId="0" xfId="0" applyNumberFormat="1"/>
    <xf numFmtId="0" fontId="6" fillId="0" borderId="1" xfId="0" applyFont="1" applyBorder="1" applyAlignment="1">
      <alignment wrapText="1"/>
    </xf>
    <xf numFmtId="0" fontId="6" fillId="0" borderId="2" xfId="0" applyFont="1" applyBorder="1" applyAlignment="1">
      <alignment wrapText="1"/>
    </xf>
    <xf numFmtId="0" fontId="6" fillId="0" borderId="3" xfId="0" applyFont="1" applyBorder="1" applyAlignment="1">
      <alignment wrapText="1"/>
    </xf>
    <xf numFmtId="0" fontId="6" fillId="0" borderId="4" xfId="0" applyFont="1" applyBorder="1" applyAlignment="1">
      <alignment wrapText="1"/>
    </xf>
    <xf numFmtId="0" fontId="6" fillId="0" borderId="3" xfId="0" applyFont="1" applyBorder="1" applyAlignment="1">
      <alignment horizontal="center"/>
    </xf>
    <xf numFmtId="0" fontId="6" fillId="0" borderId="3" xfId="0" applyFont="1" applyBorder="1" applyAlignment="1">
      <alignment horizontal="center" wrapText="1"/>
    </xf>
    <xf numFmtId="0" fontId="6" fillId="0" borderId="2" xfId="0" applyFont="1" applyBorder="1" applyAlignment="1">
      <alignment horizontal="center"/>
    </xf>
    <xf numFmtId="0" fontId="6" fillId="2" borderId="0" xfId="0" applyFont="1" applyFill="1" applyAlignment="1">
      <alignment horizontal="center"/>
    </xf>
    <xf numFmtId="0" fontId="6" fillId="0" borderId="0" xfId="0" applyFont="1" applyAlignment="1">
      <alignment horizontal="left"/>
    </xf>
    <xf numFmtId="9" fontId="6" fillId="0" borderId="0" xfId="0" applyNumberFormat="1" applyFont="1" applyAlignment="1">
      <alignment horizontal="right"/>
    </xf>
    <xf numFmtId="0" fontId="6" fillId="0" borderId="4" xfId="0" applyFont="1" applyBorder="1" applyAlignment="1">
      <alignment horizontal="center"/>
    </xf>
    <xf numFmtId="168" fontId="0" fillId="0" borderId="5" xfId="2" applyNumberFormat="1" applyFont="1" applyBorder="1"/>
    <xf numFmtId="0" fontId="6" fillId="0" borderId="6" xfId="0" applyFont="1" applyBorder="1" applyAlignment="1">
      <alignment horizontal="center"/>
    </xf>
    <xf numFmtId="0" fontId="0" fillId="0" borderId="5" xfId="0" applyBorder="1" applyAlignment="1">
      <alignment horizontal="center"/>
    </xf>
    <xf numFmtId="0" fontId="6" fillId="0" borderId="5" xfId="0" applyFont="1" applyBorder="1"/>
    <xf numFmtId="2" fontId="6" fillId="0" borderId="7" xfId="0" applyNumberFormat="1" applyFont="1" applyBorder="1" applyAlignment="1">
      <alignment horizontal="center"/>
    </xf>
    <xf numFmtId="2" fontId="6" fillId="2" borderId="0" xfId="0" applyNumberFormat="1" applyFont="1" applyFill="1" applyAlignment="1">
      <alignment horizontal="center"/>
    </xf>
    <xf numFmtId="2" fontId="6" fillId="0" borderId="0" xfId="0" applyNumberFormat="1" applyFont="1" applyAlignment="1">
      <alignment horizontal="center"/>
    </xf>
    <xf numFmtId="168" fontId="6" fillId="0" borderId="4" xfId="2" applyNumberFormat="1" applyFont="1" applyBorder="1"/>
    <xf numFmtId="168" fontId="6" fillId="0" borderId="0" xfId="2" applyNumberFormat="1" applyFont="1" applyBorder="1"/>
    <xf numFmtId="0" fontId="6" fillId="0" borderId="5" xfId="0" applyFont="1" applyBorder="1" applyAlignment="1">
      <alignment horizontal="center"/>
    </xf>
    <xf numFmtId="0" fontId="6" fillId="0" borderId="8" xfId="0" applyFont="1" applyBorder="1" applyAlignment="1">
      <alignment horizontal="center"/>
    </xf>
    <xf numFmtId="168" fontId="0" fillId="0" borderId="0" xfId="2" applyNumberFormat="1" applyFont="1" applyBorder="1"/>
    <xf numFmtId="169" fontId="2" fillId="0" borderId="7" xfId="0" applyNumberFormat="1" applyFont="1" applyBorder="1" applyAlignment="1">
      <alignment horizontal="center"/>
    </xf>
    <xf numFmtId="0" fontId="0" fillId="2" borderId="0" xfId="0" applyFill="1" applyAlignment="1">
      <alignment horizontal="center"/>
    </xf>
    <xf numFmtId="0" fontId="0" fillId="0" borderId="0" xfId="0" applyAlignment="1">
      <alignment horizontal="center"/>
    </xf>
    <xf numFmtId="2" fontId="0" fillId="0" borderId="7" xfId="0" applyNumberFormat="1" applyBorder="1" applyAlignment="1">
      <alignment horizontal="center"/>
    </xf>
    <xf numFmtId="2" fontId="0" fillId="2" borderId="0" xfId="0" applyNumberFormat="1" applyFill="1" applyAlignment="1">
      <alignment horizontal="center"/>
    </xf>
    <xf numFmtId="2" fontId="0" fillId="0" borderId="0" xfId="0" applyNumberFormat="1" applyAlignment="1">
      <alignment horizontal="center"/>
    </xf>
    <xf numFmtId="2" fontId="2" fillId="0" borderId="7" xfId="0" applyNumberFormat="1" applyFont="1" applyBorder="1" applyAlignment="1">
      <alignment horizontal="center"/>
    </xf>
    <xf numFmtId="0" fontId="2" fillId="0" borderId="7" xfId="0" applyFont="1" applyBorder="1" applyAlignment="1">
      <alignment horizontal="center"/>
    </xf>
    <xf numFmtId="0" fontId="0" fillId="0" borderId="8" xfId="0" applyBorder="1" applyAlignment="1">
      <alignment horizontal="center"/>
    </xf>
    <xf numFmtId="168" fontId="0" fillId="0" borderId="5" xfId="2" applyNumberFormat="1" applyFont="1" applyBorder="1" applyAlignment="1">
      <alignment horizontal="center"/>
    </xf>
    <xf numFmtId="0" fontId="0" fillId="0" borderId="5" xfId="0" applyBorder="1"/>
    <xf numFmtId="0" fontId="6" fillId="0" borderId="9" xfId="0" applyFont="1" applyBorder="1" applyAlignment="1">
      <alignment horizontal="center"/>
    </xf>
    <xf numFmtId="0" fontId="0" fillId="0" borderId="9" xfId="0" applyBorder="1"/>
    <xf numFmtId="2" fontId="0" fillId="0" borderId="10" xfId="0" applyNumberFormat="1" applyBorder="1" applyAlignment="1">
      <alignment horizontal="center"/>
    </xf>
    <xf numFmtId="168" fontId="6" fillId="0" borderId="5" xfId="2" applyNumberFormat="1" applyFont="1" applyFill="1" applyBorder="1"/>
    <xf numFmtId="168" fontId="6" fillId="0" borderId="0" xfId="2" applyNumberFormat="1" applyFont="1" applyFill="1" applyBorder="1"/>
    <xf numFmtId="168" fontId="6" fillId="0" borderId="5" xfId="2" applyNumberFormat="1" applyFont="1" applyFill="1" applyBorder="1" applyAlignment="1">
      <alignment horizontal="center"/>
    </xf>
    <xf numFmtId="0" fontId="0" fillId="0" borderId="9" xfId="0" applyBorder="1" applyAlignment="1">
      <alignment horizontal="center"/>
    </xf>
    <xf numFmtId="168" fontId="0" fillId="0" borderId="9" xfId="2" applyNumberFormat="1" applyFont="1" applyBorder="1"/>
    <xf numFmtId="0" fontId="0" fillId="0" borderId="11" xfId="0" applyBorder="1" applyAlignment="1">
      <alignment horizontal="center"/>
    </xf>
    <xf numFmtId="165" fontId="8" fillId="0" borderId="0" xfId="2" applyNumberFormat="1" applyFont="1" applyFill="1" applyBorder="1"/>
    <xf numFmtId="165" fontId="7" fillId="0" borderId="0" xfId="2" applyNumberFormat="1" applyFont="1" applyFill="1" applyBorder="1"/>
    <xf numFmtId="0" fontId="6" fillId="3" borderId="2" xfId="0" applyFont="1" applyFill="1" applyBorder="1" applyAlignment="1">
      <alignment wrapText="1"/>
    </xf>
    <xf numFmtId="165" fontId="0" fillId="0" borderId="0" xfId="0" applyNumberFormat="1"/>
    <xf numFmtId="168" fontId="0" fillId="0" borderId="4" xfId="2" applyNumberFormat="1" applyFont="1" applyBorder="1"/>
    <xf numFmtId="168" fontId="4" fillId="0" borderId="0" xfId="0" applyNumberFormat="1" applyFont="1"/>
    <xf numFmtId="168" fontId="6" fillId="0" borderId="5" xfId="2" applyNumberFormat="1" applyFont="1" applyBorder="1"/>
    <xf numFmtId="0" fontId="6" fillId="0" borderId="0" xfId="4"/>
    <xf numFmtId="0" fontId="6" fillId="0" borderId="8" xfId="4" applyBorder="1"/>
    <xf numFmtId="0" fontId="9" fillId="0" borderId="0" xfId="4" applyFont="1"/>
    <xf numFmtId="0" fontId="6" fillId="0" borderId="7" xfId="4" applyBorder="1"/>
    <xf numFmtId="0" fontId="9" fillId="0" borderId="18" xfId="4" applyFont="1" applyBorder="1" applyAlignment="1">
      <alignment horizontal="center"/>
    </xf>
    <xf numFmtId="0" fontId="6" fillId="0" borderId="19" xfId="4" applyBorder="1"/>
    <xf numFmtId="170" fontId="9" fillId="3" borderId="20" xfId="5" applyNumberFormat="1" applyFont="1" applyFill="1" applyBorder="1" applyAlignment="1">
      <alignment horizontal="right" vertical="center"/>
    </xf>
    <xf numFmtId="170" fontId="10" fillId="3" borderId="21" xfId="5" applyNumberFormat="1" applyFont="1" applyFill="1" applyBorder="1" applyAlignment="1">
      <alignment horizontal="right" vertical="center"/>
    </xf>
    <xf numFmtId="171" fontId="10" fillId="3" borderId="22" xfId="0" applyNumberFormat="1" applyFont="1" applyFill="1" applyBorder="1" applyAlignment="1">
      <alignment horizontal="right" vertical="center"/>
    </xf>
    <xf numFmtId="166" fontId="9" fillId="0" borderId="0" xfId="4" applyNumberFormat="1" applyFont="1"/>
    <xf numFmtId="0" fontId="9" fillId="0" borderId="8" xfId="0" applyFont="1" applyBorder="1" applyAlignment="1">
      <alignment horizontal="left"/>
    </xf>
    <xf numFmtId="166" fontId="9" fillId="3" borderId="0" xfId="2" applyFont="1" applyFill="1" applyBorder="1" applyAlignment="1" applyProtection="1">
      <alignment horizontal="right"/>
    </xf>
    <xf numFmtId="170" fontId="9" fillId="0" borderId="7" xfId="5" applyNumberFormat="1" applyFont="1" applyFill="1" applyBorder="1" applyProtection="1"/>
    <xf numFmtId="171" fontId="9" fillId="0" borderId="18" xfId="0" applyNumberFormat="1" applyFont="1" applyBorder="1" applyAlignment="1">
      <alignment horizontal="center"/>
    </xf>
    <xf numFmtId="171" fontId="9" fillId="3" borderId="19" xfId="0" applyNumberFormat="1" applyFont="1" applyFill="1" applyBorder="1" applyAlignment="1">
      <alignment horizontal="right" vertical="center"/>
    </xf>
    <xf numFmtId="171" fontId="10" fillId="3" borderId="7" xfId="0" applyNumberFormat="1" applyFont="1" applyFill="1" applyBorder="1" applyAlignment="1">
      <alignment horizontal="right" vertical="center"/>
    </xf>
    <xf numFmtId="170" fontId="9" fillId="3" borderId="7" xfId="5" applyNumberFormat="1" applyFont="1" applyFill="1" applyBorder="1" applyAlignment="1">
      <alignment horizontal="right" vertical="center"/>
    </xf>
    <xf numFmtId="170" fontId="9" fillId="3" borderId="7" xfId="5" applyNumberFormat="1" applyFont="1" applyFill="1" applyBorder="1" applyAlignment="1" applyProtection="1">
      <alignment horizontal="right" vertical="center"/>
    </xf>
    <xf numFmtId="171" fontId="9" fillId="3" borderId="7" xfId="0" applyNumberFormat="1" applyFont="1" applyFill="1" applyBorder="1" applyAlignment="1">
      <alignment horizontal="right" vertical="center"/>
    </xf>
    <xf numFmtId="166" fontId="9" fillId="0" borderId="19" xfId="2" applyFont="1" applyFill="1" applyBorder="1"/>
    <xf numFmtId="0" fontId="9" fillId="0" borderId="0" xfId="0" applyFont="1"/>
    <xf numFmtId="0" fontId="9" fillId="0" borderId="11" xfId="0" applyFont="1" applyBorder="1" applyAlignment="1">
      <alignment horizontal="left"/>
    </xf>
    <xf numFmtId="0" fontId="6" fillId="0" borderId="24" xfId="4" applyBorder="1"/>
    <xf numFmtId="0" fontId="9" fillId="0" borderId="24" xfId="4" applyFont="1" applyBorder="1"/>
    <xf numFmtId="170" fontId="9" fillId="0" borderId="10" xfId="5" applyNumberFormat="1" applyFont="1" applyFill="1" applyBorder="1" applyProtection="1"/>
    <xf numFmtId="0" fontId="0" fillId="0" borderId="26" xfId="0" applyBorder="1"/>
    <xf numFmtId="0" fontId="9" fillId="0" borderId="26" xfId="0" applyFont="1" applyBorder="1"/>
    <xf numFmtId="171" fontId="9" fillId="3" borderId="27" xfId="0" applyNumberFormat="1" applyFont="1" applyFill="1" applyBorder="1" applyAlignment="1">
      <alignment horizontal="right" vertical="center"/>
    </xf>
    <xf numFmtId="171" fontId="10" fillId="3" borderId="10" xfId="0" applyNumberFormat="1" applyFont="1" applyFill="1" applyBorder="1" applyAlignment="1">
      <alignment horizontal="right" vertical="center"/>
    </xf>
    <xf numFmtId="170" fontId="9" fillId="3" borderId="10" xfId="5" applyNumberFormat="1" applyFont="1" applyFill="1" applyBorder="1" applyAlignment="1">
      <alignment horizontal="right" vertical="center"/>
    </xf>
    <xf numFmtId="0" fontId="9" fillId="0" borderId="0" xfId="0" applyFont="1" applyFill="1" applyBorder="1" applyAlignment="1">
      <alignment horizontal="left"/>
    </xf>
    <xf numFmtId="0" fontId="9" fillId="0" borderId="28" xfId="0" applyFont="1" applyFill="1" applyBorder="1" applyAlignment="1">
      <alignment horizontal="left"/>
    </xf>
    <xf numFmtId="0" fontId="9" fillId="0" borderId="29" xfId="0" applyFont="1" applyFill="1" applyBorder="1" applyAlignment="1">
      <alignment horizontal="left"/>
    </xf>
    <xf numFmtId="0" fontId="6" fillId="0" borderId="23" xfId="4" applyBorder="1"/>
    <xf numFmtId="164" fontId="9" fillId="0" borderId="0" xfId="4" applyNumberFormat="1" applyFont="1"/>
    <xf numFmtId="167" fontId="9" fillId="3" borderId="18" xfId="1" applyFont="1" applyFill="1" applyBorder="1" applyAlignment="1" applyProtection="1">
      <alignment horizontal="right" vertical="center"/>
    </xf>
    <xf numFmtId="164" fontId="9" fillId="4" borderId="19" xfId="0" applyNumberFormat="1" applyFont="1" applyFill="1" applyBorder="1" applyAlignment="1">
      <alignment horizontal="right" vertical="center"/>
    </xf>
    <xf numFmtId="0" fontId="9" fillId="3" borderId="23" xfId="0" applyFont="1" applyFill="1" applyBorder="1"/>
    <xf numFmtId="0" fontId="9" fillId="0" borderId="19" xfId="4" applyFont="1" applyBorder="1"/>
    <xf numFmtId="0" fontId="9" fillId="0" borderId="25" xfId="4" applyFont="1" applyBorder="1"/>
    <xf numFmtId="0" fontId="6" fillId="0" borderId="27" xfId="4" applyBorder="1"/>
    <xf numFmtId="0" fontId="9" fillId="0" borderId="17" xfId="4" applyFont="1" applyBorder="1" applyAlignment="1">
      <alignment horizontal="center" vertical="center"/>
    </xf>
    <xf numFmtId="0" fontId="9" fillId="3" borderId="30" xfId="0" applyFont="1" applyFill="1" applyBorder="1"/>
    <xf numFmtId="0" fontId="11" fillId="3" borderId="23" xfId="0" applyFont="1" applyFill="1" applyBorder="1"/>
    <xf numFmtId="0" fontId="11" fillId="3" borderId="19" xfId="0" applyFont="1" applyFill="1" applyBorder="1"/>
    <xf numFmtId="0" fontId="9" fillId="0" borderId="27" xfId="4" applyFont="1" applyBorder="1"/>
    <xf numFmtId="0" fontId="12" fillId="3" borderId="0" xfId="0" applyFont="1" applyFill="1"/>
    <xf numFmtId="164" fontId="9" fillId="0" borderId="19" xfId="2" applyNumberFormat="1" applyFont="1" applyFill="1" applyBorder="1"/>
    <xf numFmtId="166" fontId="9" fillId="0" borderId="27" xfId="2" applyFont="1" applyFill="1" applyBorder="1"/>
    <xf numFmtId="0" fontId="9" fillId="0" borderId="23" xfId="0" applyFont="1" applyBorder="1" applyAlignment="1">
      <alignment horizontal="left"/>
    </xf>
    <xf numFmtId="171" fontId="9" fillId="5" borderId="19" xfId="2" applyNumberFormat="1" applyFont="1" applyFill="1" applyBorder="1" applyAlignment="1" applyProtection="1">
      <alignment vertical="center"/>
    </xf>
    <xf numFmtId="171" fontId="9" fillId="0" borderId="0" xfId="4" applyNumberFormat="1" applyFont="1"/>
    <xf numFmtId="0" fontId="12" fillId="3" borderId="23" xfId="0" applyFont="1" applyFill="1" applyBorder="1" applyAlignment="1">
      <alignment horizontal="center"/>
    </xf>
    <xf numFmtId="0" fontId="12" fillId="3" borderId="0" xfId="0" applyFont="1" applyFill="1" applyAlignment="1">
      <alignment horizontal="center"/>
    </xf>
    <xf numFmtId="0" fontId="12" fillId="3" borderId="19" xfId="0" applyFont="1" applyFill="1" applyBorder="1" applyAlignment="1">
      <alignment horizontal="center"/>
    </xf>
    <xf numFmtId="0" fontId="12" fillId="3" borderId="23" xfId="0" applyFont="1" applyFill="1" applyBorder="1" applyAlignment="1">
      <alignment horizontal="center" wrapText="1"/>
    </xf>
    <xf numFmtId="0" fontId="13" fillId="3" borderId="19" xfId="0" applyFont="1" applyFill="1" applyBorder="1" applyAlignment="1">
      <alignment horizontal="center" vertical="center" wrapText="1"/>
    </xf>
    <xf numFmtId="171" fontId="12" fillId="3" borderId="23" xfId="0" applyNumberFormat="1" applyFont="1" applyFill="1" applyBorder="1" applyAlignment="1">
      <alignment horizontal="center"/>
    </xf>
    <xf numFmtId="171" fontId="12" fillId="3" borderId="0" xfId="0" applyNumberFormat="1" applyFont="1" applyFill="1" applyAlignment="1">
      <alignment horizontal="center"/>
    </xf>
    <xf numFmtId="166" fontId="12" fillId="3" borderId="19" xfId="2" applyFont="1" applyFill="1" applyBorder="1" applyAlignment="1">
      <alignment horizontal="center"/>
    </xf>
    <xf numFmtId="0" fontId="13" fillId="3" borderId="0" xfId="0" applyFont="1" applyFill="1" applyAlignment="1">
      <alignment horizontal="center" vertical="center" wrapText="1"/>
    </xf>
    <xf numFmtId="166" fontId="12" fillId="3" borderId="0" xfId="2" applyFont="1" applyFill="1" applyBorder="1" applyAlignment="1">
      <alignment horizontal="center"/>
    </xf>
    <xf numFmtId="0" fontId="9" fillId="0" borderId="25" xfId="0" applyFont="1" applyBorder="1" applyAlignment="1">
      <alignment horizontal="left"/>
    </xf>
    <xf numFmtId="171" fontId="12" fillId="3" borderId="25" xfId="0" applyNumberFormat="1" applyFont="1" applyFill="1" applyBorder="1" applyAlignment="1">
      <alignment horizontal="center"/>
    </xf>
    <xf numFmtId="171" fontId="12" fillId="3" borderId="26" xfId="0" applyNumberFormat="1" applyFont="1" applyFill="1" applyBorder="1" applyAlignment="1">
      <alignment horizontal="center"/>
    </xf>
    <xf numFmtId="166" fontId="12" fillId="3" borderId="27" xfId="2" applyFont="1" applyFill="1" applyBorder="1" applyAlignment="1">
      <alignment horizontal="center"/>
    </xf>
    <xf numFmtId="0" fontId="9" fillId="0" borderId="19" xfId="0" applyFont="1" applyBorder="1"/>
    <xf numFmtId="166" fontId="9" fillId="0" borderId="19" xfId="0" applyNumberFormat="1" applyFont="1" applyBorder="1"/>
    <xf numFmtId="166" fontId="9" fillId="0" borderId="27" xfId="0" applyNumberFormat="1" applyFont="1" applyBorder="1"/>
    <xf numFmtId="166" fontId="5" fillId="3" borderId="23" xfId="2" applyFont="1" applyFill="1" applyBorder="1" applyAlignment="1" applyProtection="1">
      <alignment horizontal="right"/>
    </xf>
    <xf numFmtId="170" fontId="9" fillId="3" borderId="8" xfId="5" applyNumberFormat="1" applyFont="1" applyFill="1" applyBorder="1" applyAlignment="1">
      <alignment horizontal="right" vertical="center"/>
    </xf>
    <xf numFmtId="170" fontId="10" fillId="3" borderId="8" xfId="5" applyNumberFormat="1" applyFont="1" applyFill="1" applyBorder="1" applyAlignment="1">
      <alignment horizontal="right" vertical="center"/>
    </xf>
    <xf numFmtId="171" fontId="10" fillId="3" borderId="8" xfId="0" applyNumberFormat="1" applyFont="1" applyFill="1" applyBorder="1" applyAlignment="1">
      <alignment horizontal="right" vertical="center"/>
    </xf>
    <xf numFmtId="0" fontId="9" fillId="8" borderId="15" xfId="4" applyFont="1" applyFill="1" applyBorder="1" applyAlignment="1">
      <alignment horizontal="center" vertical="center"/>
    </xf>
    <xf numFmtId="166" fontId="0" fillId="0" borderId="0" xfId="0" applyNumberFormat="1"/>
    <xf numFmtId="0" fontId="4" fillId="0" borderId="0" xfId="0" applyFont="1" applyAlignment="1">
      <alignment horizontal="center"/>
    </xf>
    <xf numFmtId="0" fontId="6" fillId="0" borderId="0" xfId="0" applyFont="1" applyAlignment="1">
      <alignment wrapText="1"/>
    </xf>
    <xf numFmtId="0" fontId="6" fillId="0" borderId="0" xfId="0" applyFont="1"/>
    <xf numFmtId="0" fontId="6" fillId="0" borderId="0" xfId="0" applyFont="1" applyAlignment="1">
      <alignment horizontal="center"/>
    </xf>
    <xf numFmtId="0" fontId="4" fillId="11" borderId="0" xfId="0" applyFont="1" applyFill="1"/>
    <xf numFmtId="0" fontId="0" fillId="11" borderId="0" xfId="0" applyFill="1"/>
    <xf numFmtId="168" fontId="4" fillId="0" borderId="0" xfId="2" applyNumberFormat="1" applyFont="1" applyFill="1"/>
    <xf numFmtId="9" fontId="6" fillId="11" borderId="0" xfId="0" applyNumberFormat="1" applyFont="1" applyFill="1"/>
    <xf numFmtId="0" fontId="2" fillId="0" borderId="0" xfId="0" applyFont="1"/>
    <xf numFmtId="175" fontId="0" fillId="0" borderId="5" xfId="2" applyNumberFormat="1" applyFont="1" applyBorder="1"/>
    <xf numFmtId="0" fontId="0" fillId="13" borderId="5" xfId="0" applyFill="1" applyBorder="1" applyAlignment="1">
      <alignment horizontal="center"/>
    </xf>
    <xf numFmtId="0" fontId="6" fillId="13" borderId="5" xfId="0" applyFont="1" applyFill="1" applyBorder="1" applyAlignment="1">
      <alignment horizontal="center"/>
    </xf>
    <xf numFmtId="0" fontId="0" fillId="0" borderId="41" xfId="0" applyBorder="1" applyAlignment="1">
      <alignment horizontal="center"/>
    </xf>
    <xf numFmtId="0" fontId="6" fillId="14" borderId="0" xfId="4" applyFill="1"/>
    <xf numFmtId="0" fontId="19" fillId="14" borderId="0" xfId="4" applyFont="1" applyFill="1" applyAlignment="1">
      <alignment horizontal="center"/>
    </xf>
    <xf numFmtId="0" fontId="21" fillId="14" borderId="0" xfId="4" applyFont="1" applyFill="1" applyAlignment="1">
      <alignment horizontal="left" vertical="top"/>
    </xf>
    <xf numFmtId="0" fontId="21" fillId="14" borderId="0" xfId="4" applyFont="1" applyFill="1" applyAlignment="1">
      <alignment horizontal="left"/>
    </xf>
    <xf numFmtId="0" fontId="6" fillId="3" borderId="0" xfId="4" applyFill="1"/>
    <xf numFmtId="0" fontId="22" fillId="3" borderId="0" xfId="4" applyFont="1" applyFill="1"/>
    <xf numFmtId="0" fontId="23" fillId="14" borderId="3" xfId="4" applyFont="1" applyFill="1" applyBorder="1" applyAlignment="1">
      <alignment horizontal="center" vertical="center" wrapText="1"/>
    </xf>
    <xf numFmtId="0" fontId="24" fillId="0" borderId="20" xfId="4" applyFont="1" applyBorder="1" applyAlignment="1">
      <alignment horizontal="center"/>
    </xf>
    <xf numFmtId="176" fontId="24" fillId="8" borderId="42" xfId="6" applyNumberFormat="1" applyFont="1" applyFill="1" applyBorder="1" applyAlignment="1">
      <alignment horizontal="center"/>
    </xf>
    <xf numFmtId="170" fontId="24" fillId="8" borderId="42" xfId="5" applyNumberFormat="1" applyFont="1" applyFill="1" applyBorder="1" applyAlignment="1">
      <alignment horizontal="center"/>
    </xf>
    <xf numFmtId="0" fontId="24" fillId="3" borderId="20" xfId="4" applyFont="1" applyFill="1" applyBorder="1" applyAlignment="1">
      <alignment horizontal="center"/>
    </xf>
    <xf numFmtId="10" fontId="24" fillId="8" borderId="42" xfId="5" applyNumberFormat="1" applyFont="1" applyFill="1" applyBorder="1" applyAlignment="1">
      <alignment horizontal="center"/>
    </xf>
    <xf numFmtId="0" fontId="24" fillId="3" borderId="35" xfId="4" applyFont="1" applyFill="1" applyBorder="1" applyAlignment="1">
      <alignment horizontal="center"/>
    </xf>
    <xf numFmtId="170" fontId="24" fillId="8" borderId="43" xfId="5" applyNumberFormat="1" applyFont="1" applyFill="1" applyBorder="1" applyAlignment="1">
      <alignment horizontal="center"/>
    </xf>
    <xf numFmtId="10" fontId="24" fillId="8" borderId="43" xfId="5" applyNumberFormat="1" applyFont="1" applyFill="1" applyBorder="1" applyAlignment="1">
      <alignment horizontal="center"/>
    </xf>
    <xf numFmtId="10" fontId="9" fillId="3" borderId="20" xfId="5" applyNumberFormat="1" applyFont="1" applyFill="1" applyBorder="1" applyAlignment="1">
      <alignment horizontal="right" vertical="center"/>
    </xf>
    <xf numFmtId="10" fontId="10" fillId="3" borderId="21" xfId="5" applyNumberFormat="1" applyFont="1" applyFill="1" applyBorder="1" applyAlignment="1">
      <alignment horizontal="right" vertical="center"/>
    </xf>
    <xf numFmtId="10" fontId="9" fillId="3" borderId="7" xfId="5" applyNumberFormat="1" applyFont="1" applyFill="1" applyBorder="1" applyAlignment="1" applyProtection="1">
      <alignment horizontal="right" vertical="center"/>
    </xf>
    <xf numFmtId="164" fontId="9" fillId="3" borderId="19" xfId="0" applyNumberFormat="1" applyFont="1" applyFill="1" applyBorder="1" applyAlignment="1">
      <alignment horizontal="right" vertical="center"/>
    </xf>
    <xf numFmtId="166" fontId="7" fillId="0" borderId="26" xfId="2" applyFont="1" applyFill="1" applyBorder="1" applyAlignment="1" applyProtection="1">
      <alignment horizontal="center"/>
      <protection hidden="1"/>
    </xf>
    <xf numFmtId="166" fontId="7" fillId="0" borderId="0" xfId="0" applyNumberFormat="1" applyFont="1" applyFill="1" applyAlignment="1" applyProtection="1">
      <alignment horizontal="center"/>
      <protection hidden="1"/>
    </xf>
    <xf numFmtId="0" fontId="7" fillId="0" borderId="26" xfId="1" applyNumberFormat="1" applyFont="1" applyFill="1" applyBorder="1" applyAlignment="1" applyProtection="1">
      <protection hidden="1"/>
    </xf>
    <xf numFmtId="166" fontId="7" fillId="0" borderId="0" xfId="1" applyNumberFormat="1" applyFont="1" applyFill="1" applyBorder="1" applyAlignment="1" applyProtection="1">
      <protection hidden="1"/>
    </xf>
    <xf numFmtId="166" fontId="4" fillId="0" borderId="0" xfId="2" applyFont="1" applyFill="1" applyProtection="1">
      <protection hidden="1"/>
    </xf>
    <xf numFmtId="171" fontId="9" fillId="0" borderId="19" xfId="0" applyNumberFormat="1" applyFont="1" applyFill="1" applyBorder="1" applyAlignment="1">
      <alignment horizontal="right" vertical="center"/>
    </xf>
    <xf numFmtId="164" fontId="9" fillId="0" borderId="19" xfId="0" applyNumberFormat="1" applyFont="1" applyFill="1" applyBorder="1" applyAlignment="1">
      <alignment horizontal="right" vertical="center"/>
    </xf>
    <xf numFmtId="0" fontId="6" fillId="8" borderId="0" xfId="0" applyFont="1" applyFill="1"/>
    <xf numFmtId="0" fontId="26" fillId="16" borderId="44" xfId="0" applyFont="1" applyFill="1" applyBorder="1" applyAlignment="1">
      <alignment horizontal="center"/>
    </xf>
    <xf numFmtId="0" fontId="26" fillId="16" borderId="0" xfId="0" applyFont="1" applyFill="1" applyAlignment="1">
      <alignment horizontal="center"/>
    </xf>
    <xf numFmtId="0" fontId="27" fillId="0" borderId="45" xfId="0" applyFont="1" applyBorder="1"/>
    <xf numFmtId="0" fontId="27" fillId="0" borderId="0" xfId="0" applyFont="1"/>
    <xf numFmtId="0" fontId="27" fillId="0" borderId="46" xfId="0" applyFont="1" applyBorder="1"/>
    <xf numFmtId="0" fontId="27" fillId="0" borderId="47" xfId="0" applyFont="1" applyBorder="1"/>
    <xf numFmtId="0" fontId="26" fillId="0" borderId="0" xfId="0" applyFont="1"/>
    <xf numFmtId="0" fontId="29" fillId="16" borderId="48" xfId="0" applyFont="1" applyFill="1" applyBorder="1" applyAlignment="1">
      <alignment horizontal="center"/>
    </xf>
    <xf numFmtId="0" fontId="29" fillId="16" borderId="49" xfId="0" applyFont="1" applyFill="1" applyBorder="1" applyAlignment="1">
      <alignment horizontal="center"/>
    </xf>
    <xf numFmtId="0" fontId="30" fillId="0" borderId="50" xfId="0" applyFont="1" applyBorder="1"/>
    <xf numFmtId="0" fontId="30" fillId="0" borderId="49" xfId="0" applyFont="1" applyBorder="1"/>
    <xf numFmtId="0" fontId="30" fillId="0" borderId="51" xfId="0" applyFont="1" applyBorder="1"/>
    <xf numFmtId="166" fontId="9" fillId="17" borderId="19" xfId="2" applyFont="1" applyFill="1" applyBorder="1"/>
    <xf numFmtId="166" fontId="9" fillId="17" borderId="27" xfId="2" applyFont="1" applyFill="1" applyBorder="1"/>
    <xf numFmtId="0" fontId="9" fillId="17" borderId="8" xfId="0" applyFont="1" applyFill="1" applyBorder="1" applyAlignment="1">
      <alignment horizontal="left"/>
    </xf>
    <xf numFmtId="0" fontId="6" fillId="17" borderId="0" xfId="4" applyFill="1"/>
    <xf numFmtId="0" fontId="6" fillId="0" borderId="0" xfId="0" applyFont="1" applyFill="1" applyProtection="1">
      <protection hidden="1"/>
    </xf>
    <xf numFmtId="9" fontId="6" fillId="0" borderId="0" xfId="1" applyNumberFormat="1" applyFont="1" applyFill="1" applyBorder="1" applyAlignment="1" applyProtection="1">
      <protection hidden="1"/>
    </xf>
    <xf numFmtId="166" fontId="6" fillId="0" borderId="0" xfId="1" applyNumberFormat="1" applyFont="1" applyFill="1" applyBorder="1" applyAlignment="1" applyProtection="1">
      <protection hidden="1"/>
    </xf>
    <xf numFmtId="10" fontId="6" fillId="0" borderId="26" xfId="3" applyNumberFormat="1" applyFont="1" applyFill="1" applyBorder="1" applyAlignment="1" applyProtection="1">
      <alignment horizontal="right"/>
      <protection hidden="1"/>
    </xf>
    <xf numFmtId="166" fontId="6" fillId="0" borderId="0" xfId="0" applyNumberFormat="1" applyFont="1" applyFill="1" applyAlignment="1" applyProtection="1">
      <alignment horizontal="center"/>
      <protection hidden="1"/>
    </xf>
    <xf numFmtId="166" fontId="4" fillId="0" borderId="0" xfId="0" applyNumberFormat="1" applyFont="1" applyFill="1" applyProtection="1">
      <protection hidden="1"/>
    </xf>
    <xf numFmtId="166" fontId="4" fillId="0" borderId="0" xfId="2" applyFont="1" applyFill="1" applyAlignment="1" applyProtection="1">
      <alignment horizontal="center"/>
      <protection hidden="1"/>
    </xf>
    <xf numFmtId="166" fontId="6" fillId="0" borderId="0" xfId="2" applyFont="1" applyFill="1" applyAlignment="1" applyProtection="1">
      <alignment horizontal="right"/>
      <protection hidden="1"/>
    </xf>
    <xf numFmtId="166" fontId="4" fillId="0" borderId="0" xfId="2" applyFont="1" applyFill="1" applyAlignment="1" applyProtection="1">
      <alignment horizontal="right"/>
      <protection hidden="1"/>
    </xf>
    <xf numFmtId="166" fontId="4" fillId="0" borderId="0" xfId="0" applyNumberFormat="1" applyFont="1" applyFill="1" applyAlignment="1" applyProtection="1">
      <alignment horizontal="center"/>
      <protection hidden="1"/>
    </xf>
    <xf numFmtId="0" fontId="0" fillId="0" borderId="0" xfId="0" applyProtection="1">
      <protection locked="0"/>
    </xf>
    <xf numFmtId="0" fontId="0" fillId="0" borderId="0" xfId="0" applyBorder="1" applyProtection="1">
      <protection locked="0"/>
    </xf>
    <xf numFmtId="0" fontId="0" fillId="0" borderId="7" xfId="0" applyBorder="1" applyProtection="1">
      <protection locked="0"/>
    </xf>
    <xf numFmtId="0" fontId="3" fillId="6" borderId="20" xfId="0" applyFont="1" applyFill="1" applyBorder="1" applyProtection="1">
      <protection locked="0"/>
    </xf>
    <xf numFmtId="0" fontId="0" fillId="0" borderId="8" xfId="0" applyBorder="1" applyProtection="1">
      <protection locked="0"/>
    </xf>
    <xf numFmtId="0" fontId="0" fillId="15" borderId="18" xfId="0" applyFill="1" applyBorder="1" applyProtection="1">
      <protection locked="0"/>
    </xf>
    <xf numFmtId="174" fontId="0" fillId="15" borderId="18" xfId="0" applyNumberFormat="1" applyFill="1" applyBorder="1" applyProtection="1">
      <protection locked="0"/>
    </xf>
    <xf numFmtId="0" fontId="0" fillId="6" borderId="18" xfId="0" applyFill="1" applyBorder="1" applyProtection="1">
      <protection locked="0"/>
    </xf>
    <xf numFmtId="171" fontId="0" fillId="15" borderId="39" xfId="0" applyNumberFormat="1" applyFill="1" applyBorder="1" applyProtection="1">
      <protection locked="0"/>
    </xf>
    <xf numFmtId="171" fontId="0" fillId="15" borderId="36" xfId="0" applyNumberFormat="1" applyFill="1" applyBorder="1" applyProtection="1">
      <protection locked="0"/>
    </xf>
    <xf numFmtId="0" fontId="0" fillId="0" borderId="24" xfId="0" applyBorder="1" applyProtection="1">
      <protection locked="0"/>
    </xf>
    <xf numFmtId="0" fontId="0" fillId="0" borderId="10" xfId="0" applyBorder="1" applyProtection="1">
      <protection locked="0"/>
    </xf>
    <xf numFmtId="0" fontId="0" fillId="0" borderId="0" xfId="0" quotePrefix="1" applyBorder="1" applyProtection="1">
      <protection locked="0"/>
    </xf>
    <xf numFmtId="0" fontId="9" fillId="0" borderId="6" xfId="0" applyFont="1" applyBorder="1" applyAlignment="1">
      <alignment horizontal="left"/>
    </xf>
    <xf numFmtId="0" fontId="6" fillId="0" borderId="33" xfId="4" applyBorder="1"/>
    <xf numFmtId="0" fontId="10" fillId="0" borderId="34" xfId="4" applyFont="1" applyBorder="1"/>
    <xf numFmtId="0" fontId="10" fillId="0" borderId="7" xfId="4" applyFont="1" applyBorder="1"/>
    <xf numFmtId="173" fontId="10" fillId="0" borderId="7" xfId="4" applyNumberFormat="1" applyFont="1" applyBorder="1"/>
    <xf numFmtId="171" fontId="10" fillId="0" borderId="7" xfId="0" applyNumberFormat="1" applyFont="1" applyBorder="1" applyAlignment="1">
      <alignment horizontal="right" vertical="center"/>
    </xf>
    <xf numFmtId="0" fontId="6" fillId="0" borderId="0" xfId="4" applyBorder="1"/>
    <xf numFmtId="0" fontId="9" fillId="0" borderId="0" xfId="4" applyFont="1" applyBorder="1"/>
    <xf numFmtId="166" fontId="9" fillId="0" borderId="0" xfId="4" applyNumberFormat="1" applyFont="1" applyBorder="1"/>
    <xf numFmtId="0" fontId="0" fillId="0" borderId="0" xfId="0" applyBorder="1"/>
    <xf numFmtId="0" fontId="9" fillId="0" borderId="0" xfId="0" applyFont="1" applyBorder="1"/>
    <xf numFmtId="0" fontId="0" fillId="0" borderId="24" xfId="0" applyBorder="1"/>
    <xf numFmtId="0" fontId="0" fillId="0" borderId="10" xfId="0" applyBorder="1"/>
    <xf numFmtId="166" fontId="15" fillId="0" borderId="0" xfId="2" applyFont="1" applyFill="1" applyAlignment="1" applyProtection="1">
      <alignment horizontal="center"/>
      <protection locked="0"/>
    </xf>
    <xf numFmtId="166" fontId="0" fillId="0" borderId="0" xfId="0" applyNumberFormat="1" applyProtection="1">
      <protection locked="0"/>
    </xf>
    <xf numFmtId="0" fontId="0" fillId="6" borderId="20" xfId="0" applyFill="1" applyBorder="1" applyProtection="1">
      <protection hidden="1"/>
    </xf>
    <xf numFmtId="0" fontId="3" fillId="6" borderId="20" xfId="0" applyFont="1" applyFill="1" applyBorder="1" applyProtection="1">
      <protection hidden="1"/>
    </xf>
    <xf numFmtId="0" fontId="3" fillId="6" borderId="18" xfId="0" applyFont="1" applyFill="1" applyBorder="1" applyAlignment="1" applyProtection="1">
      <alignment horizontal="center"/>
      <protection hidden="1"/>
    </xf>
    <xf numFmtId="0" fontId="4" fillId="0" borderId="0" xfId="0" applyFont="1" applyAlignment="1" applyProtection="1">
      <alignment horizontal="center" vertical="center"/>
      <protection hidden="1"/>
    </xf>
    <xf numFmtId="0" fontId="15" fillId="0" borderId="0" xfId="0" applyFont="1" applyAlignment="1" applyProtection="1">
      <alignment horizontal="center" vertical="center" wrapText="1"/>
      <protection hidden="1"/>
    </xf>
    <xf numFmtId="0" fontId="4" fillId="0" borderId="0" xfId="0" applyFont="1" applyProtection="1">
      <protection hidden="1"/>
    </xf>
    <xf numFmtId="0" fontId="7" fillId="0" borderId="0" xfId="0" applyFont="1" applyFill="1" applyProtection="1">
      <protection hidden="1"/>
    </xf>
    <xf numFmtId="0" fontId="0" fillId="0" borderId="0" xfId="0" applyProtection="1">
      <protection hidden="1"/>
    </xf>
    <xf numFmtId="166" fontId="0" fillId="0" borderId="0" xfId="2" applyFont="1" applyProtection="1">
      <protection hidden="1"/>
    </xf>
    <xf numFmtId="0" fontId="6" fillId="0" borderId="0" xfId="0" applyFont="1" applyProtection="1">
      <protection hidden="1"/>
    </xf>
    <xf numFmtId="0" fontId="4" fillId="0" borderId="0" xfId="0" applyFont="1" applyFill="1" applyProtection="1">
      <protection hidden="1"/>
    </xf>
    <xf numFmtId="0" fontId="32" fillId="0" borderId="0" xfId="0" applyFont="1" applyFill="1" applyProtection="1">
      <protection hidden="1"/>
    </xf>
    <xf numFmtId="0" fontId="16" fillId="0" borderId="37" xfId="6" applyNumberFormat="1" applyFont="1" applyFill="1" applyBorder="1" applyAlignment="1" applyProtection="1">
      <alignment horizontal="left" vertical="center"/>
      <protection hidden="1"/>
    </xf>
    <xf numFmtId="9" fontId="15" fillId="0" borderId="0" xfId="3" applyFont="1" applyFill="1" applyAlignment="1" applyProtection="1">
      <alignment horizontal="right"/>
      <protection hidden="1"/>
    </xf>
    <xf numFmtId="0" fontId="4" fillId="9" borderId="3" xfId="0" applyFont="1" applyFill="1" applyBorder="1" applyProtection="1">
      <protection hidden="1"/>
    </xf>
    <xf numFmtId="166" fontId="4" fillId="9" borderId="3" xfId="2" applyFont="1" applyFill="1" applyBorder="1" applyProtection="1">
      <protection hidden="1"/>
    </xf>
    <xf numFmtId="177" fontId="0" fillId="15" borderId="18" xfId="0" applyNumberFormat="1" applyFill="1" applyBorder="1" applyAlignment="1" applyProtection="1">
      <alignment horizontal="center"/>
      <protection locked="0"/>
    </xf>
    <xf numFmtId="177" fontId="0" fillId="2" borderId="18" xfId="0" applyNumberFormat="1" applyFill="1" applyBorder="1" applyAlignment="1" applyProtection="1">
      <alignment horizontal="center"/>
      <protection hidden="1"/>
    </xf>
    <xf numFmtId="0" fontId="33" fillId="0" borderId="0" xfId="0" applyFont="1" applyAlignment="1" applyProtection="1">
      <alignment horizontal="left" vertical="center" wrapText="1"/>
      <protection locked="0"/>
    </xf>
    <xf numFmtId="0" fontId="3" fillId="6" borderId="38" xfId="0" applyFont="1" applyFill="1" applyBorder="1" applyAlignment="1" applyProtection="1">
      <alignment horizontal="left"/>
      <protection hidden="1"/>
    </xf>
    <xf numFmtId="0" fontId="3" fillId="6" borderId="39" xfId="0" applyFont="1" applyFill="1" applyBorder="1" applyAlignment="1" applyProtection="1">
      <alignment horizontal="left"/>
      <protection hidden="1"/>
    </xf>
    <xf numFmtId="0" fontId="3" fillId="6" borderId="35" xfId="0" applyFont="1" applyFill="1" applyBorder="1" applyAlignment="1" applyProtection="1">
      <alignment horizontal="left"/>
      <protection hidden="1"/>
    </xf>
    <xf numFmtId="0" fontId="3" fillId="6" borderId="36" xfId="0" applyFont="1" applyFill="1" applyBorder="1" applyAlignment="1" applyProtection="1">
      <alignment horizontal="left"/>
      <protection hidden="1"/>
    </xf>
    <xf numFmtId="0" fontId="18" fillId="7" borderId="1" xfId="0" applyFont="1" applyFill="1" applyBorder="1" applyAlignment="1" applyProtection="1">
      <alignment horizontal="center"/>
      <protection locked="0"/>
    </xf>
    <xf numFmtId="0" fontId="18" fillId="7" borderId="40" xfId="0" applyFont="1" applyFill="1" applyBorder="1" applyAlignment="1" applyProtection="1">
      <alignment horizontal="center"/>
      <protection locked="0"/>
    </xf>
    <xf numFmtId="0" fontId="18" fillId="7" borderId="2" xfId="0" applyFont="1" applyFill="1" applyBorder="1" applyAlignment="1" applyProtection="1">
      <alignment horizontal="center"/>
      <protection locked="0"/>
    </xf>
    <xf numFmtId="0" fontId="14" fillId="6" borderId="6" xfId="0" applyFont="1" applyFill="1" applyBorder="1" applyAlignment="1" applyProtection="1">
      <alignment horizontal="center" vertical="top"/>
      <protection hidden="1"/>
    </xf>
    <xf numFmtId="0" fontId="14" fillId="6" borderId="33" xfId="0" applyFont="1" applyFill="1" applyBorder="1" applyAlignment="1" applyProtection="1">
      <alignment horizontal="center" vertical="top"/>
      <protection hidden="1"/>
    </xf>
    <xf numFmtId="0" fontId="14" fillId="6" borderId="34" xfId="0" applyFont="1" applyFill="1" applyBorder="1" applyAlignment="1" applyProtection="1">
      <alignment horizontal="center" vertical="top"/>
      <protection hidden="1"/>
    </xf>
    <xf numFmtId="0" fontId="3" fillId="6" borderId="18" xfId="0" applyFont="1" applyFill="1" applyBorder="1" applyAlignment="1" applyProtection="1">
      <alignment horizontal="center"/>
      <protection hidden="1"/>
    </xf>
    <xf numFmtId="0" fontId="0" fillId="6" borderId="18" xfId="0" applyFill="1" applyBorder="1" applyAlignment="1" applyProtection="1">
      <alignment horizontal="left"/>
      <protection hidden="1"/>
    </xf>
    <xf numFmtId="0" fontId="4" fillId="11" borderId="0" xfId="0" applyFont="1" applyFill="1" applyAlignment="1">
      <alignment horizontal="center"/>
    </xf>
    <xf numFmtId="0" fontId="4" fillId="12" borderId="0" xfId="0" applyFont="1" applyFill="1" applyAlignment="1">
      <alignment horizontal="center"/>
    </xf>
    <xf numFmtId="0" fontId="6" fillId="0" borderId="0" xfId="0" applyFont="1" applyAlignment="1">
      <alignment wrapText="1"/>
    </xf>
    <xf numFmtId="0" fontId="6" fillId="0" borderId="0" xfId="0" applyFont="1"/>
    <xf numFmtId="0" fontId="6" fillId="0" borderId="0" xfId="0" applyFont="1" applyAlignment="1">
      <alignment horizontal="center"/>
    </xf>
    <xf numFmtId="0" fontId="9" fillId="8" borderId="52" xfId="4" applyFont="1" applyFill="1" applyBorder="1" applyAlignment="1">
      <alignment horizontal="center"/>
    </xf>
    <xf numFmtId="0" fontId="9" fillId="8" borderId="53" xfId="4" applyFont="1" applyFill="1" applyBorder="1" applyAlignment="1">
      <alignment horizontal="center"/>
    </xf>
    <xf numFmtId="0" fontId="9" fillId="8" borderId="54" xfId="4" applyFont="1" applyFill="1" applyBorder="1" applyAlignment="1">
      <alignment horizontal="center"/>
    </xf>
    <xf numFmtId="0" fontId="9" fillId="8" borderId="12" xfId="4" applyFont="1" applyFill="1" applyBorder="1" applyAlignment="1">
      <alignment horizontal="center"/>
    </xf>
    <xf numFmtId="0" fontId="9" fillId="8" borderId="13" xfId="4" applyFont="1" applyFill="1" applyBorder="1" applyAlignment="1">
      <alignment horizontal="center"/>
    </xf>
    <xf numFmtId="0" fontId="9" fillId="8" borderId="14" xfId="4" applyFont="1" applyFill="1" applyBorder="1" applyAlignment="1">
      <alignment horizontal="center"/>
    </xf>
    <xf numFmtId="0" fontId="9" fillId="8" borderId="15" xfId="4" applyFont="1" applyFill="1" applyBorder="1" applyAlignment="1">
      <alignment horizontal="center"/>
    </xf>
    <xf numFmtId="0" fontId="9" fillId="8" borderId="16" xfId="4" applyFont="1" applyFill="1" applyBorder="1" applyAlignment="1">
      <alignment horizontal="center"/>
    </xf>
    <xf numFmtId="0" fontId="9" fillId="8" borderId="17" xfId="4" applyFont="1" applyFill="1" applyBorder="1" applyAlignment="1">
      <alignment horizontal="center"/>
    </xf>
    <xf numFmtId="0" fontId="5" fillId="8" borderId="12" xfId="4" applyFont="1" applyFill="1" applyBorder="1" applyAlignment="1">
      <alignment horizontal="center"/>
    </xf>
    <xf numFmtId="0" fontId="5" fillId="8" borderId="13" xfId="4" applyFont="1" applyFill="1" applyBorder="1" applyAlignment="1">
      <alignment horizontal="center"/>
    </xf>
    <xf numFmtId="0" fontId="5" fillId="8" borderId="14" xfId="4" applyFont="1" applyFill="1" applyBorder="1" applyAlignment="1">
      <alignment horizontal="center"/>
    </xf>
    <xf numFmtId="0" fontId="9" fillId="8" borderId="15" xfId="4" applyFont="1" applyFill="1" applyBorder="1" applyAlignment="1">
      <alignment horizontal="center" vertical="center"/>
    </xf>
    <xf numFmtId="0" fontId="9" fillId="8" borderId="17" xfId="4" applyFont="1" applyFill="1" applyBorder="1" applyAlignment="1">
      <alignment horizontal="center" vertical="center"/>
    </xf>
    <xf numFmtId="0" fontId="12" fillId="3" borderId="23" xfId="0" applyFont="1" applyFill="1" applyBorder="1" applyAlignment="1">
      <alignment horizontal="center"/>
    </xf>
    <xf numFmtId="0" fontId="12" fillId="3" borderId="0" xfId="0" applyFont="1" applyFill="1" applyAlignment="1">
      <alignment horizontal="center"/>
    </xf>
    <xf numFmtId="0" fontId="3" fillId="10" borderId="0" xfId="0" applyFont="1" applyFill="1" applyAlignment="1">
      <alignment horizontal="left"/>
    </xf>
    <xf numFmtId="0" fontId="3" fillId="10" borderId="26" xfId="0" applyFont="1" applyFill="1" applyBorder="1" applyAlignment="1">
      <alignment horizontal="left"/>
    </xf>
    <xf numFmtId="0" fontId="3" fillId="10" borderId="1" xfId="0" applyFont="1" applyFill="1" applyBorder="1" applyAlignment="1">
      <alignment horizontal="left"/>
    </xf>
    <xf numFmtId="0" fontId="3" fillId="10" borderId="40" xfId="0" applyFont="1" applyFill="1" applyBorder="1" applyAlignment="1">
      <alignment horizontal="left"/>
    </xf>
    <xf numFmtId="0" fontId="3" fillId="10" borderId="2" xfId="0" applyFont="1" applyFill="1" applyBorder="1" applyAlignment="1">
      <alignment horizontal="left"/>
    </xf>
    <xf numFmtId="0" fontId="13" fillId="8" borderId="31" xfId="0" applyFont="1" applyFill="1" applyBorder="1" applyAlignment="1">
      <alignment horizontal="center"/>
    </xf>
    <xf numFmtId="0" fontId="13" fillId="8" borderId="32" xfId="0" applyFont="1" applyFill="1" applyBorder="1" applyAlignment="1">
      <alignment horizontal="center"/>
    </xf>
    <xf numFmtId="0" fontId="13" fillId="8" borderId="30" xfId="0" applyFont="1" applyFill="1" applyBorder="1" applyAlignment="1">
      <alignment horizontal="center"/>
    </xf>
    <xf numFmtId="0" fontId="13" fillId="3" borderId="23" xfId="0" applyFont="1" applyFill="1" applyBorder="1" applyAlignment="1">
      <alignment horizontal="center"/>
    </xf>
    <xf numFmtId="0" fontId="13" fillId="3" borderId="0" xfId="0" applyFont="1" applyFill="1" applyAlignment="1">
      <alignment horizontal="center"/>
    </xf>
    <xf numFmtId="0" fontId="13" fillId="3" borderId="19" xfId="0" applyFont="1" applyFill="1" applyBorder="1" applyAlignment="1">
      <alignment horizontal="center"/>
    </xf>
    <xf numFmtId="0" fontId="0" fillId="8" borderId="16" xfId="0" applyFill="1" applyBorder="1"/>
    <xf numFmtId="0" fontId="0" fillId="8" borderId="17" xfId="0" applyFill="1" applyBorder="1"/>
    <xf numFmtId="0" fontId="20" fillId="14" borderId="0" xfId="4" applyFont="1" applyFill="1" applyAlignment="1">
      <alignment horizontal="right"/>
    </xf>
    <xf numFmtId="0" fontId="23" fillId="14" borderId="6" xfId="4" applyFont="1" applyFill="1" applyBorder="1" applyAlignment="1">
      <alignment horizontal="center" vertical="center"/>
    </xf>
    <xf numFmtId="0" fontId="23" fillId="14" borderId="33" xfId="4" applyFont="1" applyFill="1" applyBorder="1" applyAlignment="1">
      <alignment horizontal="center" vertical="center"/>
    </xf>
    <xf numFmtId="0" fontId="23" fillId="14" borderId="34" xfId="4" applyFont="1" applyFill="1" applyBorder="1" applyAlignment="1">
      <alignment horizontal="center" vertical="center"/>
    </xf>
  </cellXfs>
  <cellStyles count="7">
    <cellStyle name="Milliers" xfId="1" builtinId="3"/>
    <cellStyle name="Milliers 2" xfId="6" xr:uid="{EA192BD2-C7C7-444F-AFEC-33140BAE239B}"/>
    <cellStyle name="Monétaire" xfId="2" builtinId="4"/>
    <cellStyle name="Normal" xfId="0" builtinId="0"/>
    <cellStyle name="Normal 2" xfId="4" xr:uid="{6F2BC21A-6A49-4AF6-85EB-8A42F8B9CFD3}"/>
    <cellStyle name="Pourcentage" xfId="3" builtinId="5"/>
    <cellStyle name="Pourcentage 2" xfId="5" xr:uid="{39E8DF58-27D9-4770-BD2F-155EB1883DF5}"/>
  </cellStyles>
  <dxfs count="6">
    <dxf>
      <font>
        <strike val="0"/>
        <outline val="0"/>
        <shadow val="0"/>
        <u val="none"/>
        <vertAlign val="baseline"/>
        <sz val="9"/>
        <color auto="1"/>
        <name val="Calibri"/>
        <family val="2"/>
        <scheme val="none"/>
      </font>
    </dxf>
    <dxf>
      <font>
        <strike val="0"/>
        <outline val="0"/>
        <shadow val="0"/>
        <u val="none"/>
        <vertAlign val="baseline"/>
        <sz val="9"/>
        <color auto="1"/>
        <name val="Calibri"/>
        <family val="2"/>
        <scheme val="none"/>
      </font>
      <border diagonalUp="0" diagonalDown="0">
        <left/>
        <right style="thin">
          <color rgb="FF00B0F0"/>
        </right>
        <vertical/>
      </border>
    </dxf>
    <dxf>
      <font>
        <strike val="0"/>
        <outline val="0"/>
        <shadow val="0"/>
        <u val="none"/>
        <vertAlign val="baseline"/>
        <sz val="9"/>
        <color auto="1"/>
        <name val="Calibri"/>
        <family val="2"/>
        <scheme val="none"/>
      </font>
    </dxf>
    <dxf>
      <font>
        <strike val="0"/>
        <outline val="0"/>
        <shadow val="0"/>
        <u val="none"/>
        <vertAlign val="baseline"/>
        <sz val="10"/>
        <color auto="1"/>
        <name val="Calibri"/>
        <family val="2"/>
        <scheme val="none"/>
      </font>
      <fill>
        <patternFill patternType="solid">
          <fgColor indexed="64"/>
          <bgColor rgb="FF00B0F0"/>
        </patternFill>
      </fill>
      <alignment horizontal="center" vertical="bottom" textRotation="0" wrapText="0" indent="0" justifyLastLine="0" shrinkToFit="0" readingOrder="0"/>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eetMetadata" Target="metadata.xml"/><Relationship Id="rId17"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xdr:col>
      <xdr:colOff>112607</xdr:colOff>
      <xdr:row>24</xdr:row>
      <xdr:rowOff>114513</xdr:rowOff>
    </xdr:from>
    <xdr:to>
      <xdr:col>4</xdr:col>
      <xdr:colOff>433916</xdr:colOff>
      <xdr:row>27</xdr:row>
      <xdr:rowOff>125096</xdr:rowOff>
    </xdr:to>
    <xdr:sp macro="[0]!Effacer" textlink="">
      <xdr:nvSpPr>
        <xdr:cNvPr id="4" name="Rectangle : en biseau 3">
          <a:extLst>
            <a:ext uri="{FF2B5EF4-FFF2-40B4-BE49-F238E27FC236}">
              <a16:creationId xmlns:a16="http://schemas.microsoft.com/office/drawing/2014/main" id="{D37A309A-0C2B-BA88-D20B-3F0FEBE46D01}"/>
            </a:ext>
          </a:extLst>
        </xdr:cNvPr>
        <xdr:cNvSpPr/>
      </xdr:nvSpPr>
      <xdr:spPr>
        <a:xfrm>
          <a:off x="3414607" y="7607513"/>
          <a:ext cx="1485476" cy="550333"/>
        </a:xfrm>
        <a:prstGeom prst="beve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fr-CA" sz="1200" b="1" kern="1200">
              <a:solidFill>
                <a:sysClr val="windowText" lastClr="000000"/>
              </a:solidFill>
            </a:rPr>
            <a:t>Initialiser</a:t>
          </a:r>
          <a:endParaRPr lang="fr-CA" sz="1100" b="1" kern="12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5P005BRS1\profils$\MFA-DGOR-DCSR\PUBLIC\1000%20Services%20de%20garde\1003%20D&#233;veloppement%20des%20places\Suivis%20mensuels\2015-2016\MAJ%202015-05-31\Projets%20autorises%20et%20places%20en%20realisation%20au%2030%20avril%202015%20-%20Synth&#232;se%20VF.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l065p001app04.mes.reseau.intra/MFA-DGOR-DCSR/PUBLIC/1000%20Services%20de%20garde/1003%20D&#233;veloppement%20des%20places/Etat%20realisation%20des%20places/Etat%20de%20r&#233;alisation%20des%20places/!Projets%20autorises%20et%20places%20en%20realisation%20au%2030%20septembre%202014.xlsx?3295E29C" TargetMode="External"/><Relationship Id="rId1" Type="http://schemas.openxmlformats.org/officeDocument/2006/relationships/externalLinkPath" Target="file:///\\3295E29C\!Projets%20autorises%20et%20places%20en%20realisation%20au%2030%20septembre%20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065r06c06par1\prive\MFA-DGOR-DCSR\PUBLIC\1000%20Services%20de%20garde\1003%20D&#233;veloppement%20des%20places\Suivis%20mensuels\2015-2016\MAJ%202015-10-31\Docs%20Max\Lettres%20re&#231;ues%20-%20Analyse%20Conf_2013_2015_11_02.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spgouvqc-my.sharepoint.com/personal/sarra_homri_mfa_gouv_qc_ca/Documents/Bureau/&#201;quipe/Outils%20en%20travail/Calcul%20des%20enveloppes/2024-11579_Rh&#233;a_PFI_RB-24-25.xlsm" TargetMode="External"/><Relationship Id="rId1" Type="http://schemas.openxmlformats.org/officeDocument/2006/relationships/externalLinkPath" Target="https://spgouvqc.sharepoint.com/personal/auracecilia_quevedoangel_mfa_gouv_qc_ca/Documents/T&#233;l&#233;chargements/2024-11579_Rh&#233;a_PFI_RB-24-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uil1"/>
      <sheetName val="Feuil2"/>
      <sheetName val="Liste des places en réalisation"/>
      <sheetName val="Sommaire par type et nature"/>
      <sheetName val="Sommaire par type de travaux"/>
      <sheetName val="Sommaire par type de travaux VF"/>
      <sheetName val="Liste Valeurs"/>
      <sheetName val="Réalisation planifiée_ADP 2013 "/>
      <sheetName val="DRCNEQ"/>
      <sheetName val="DRCSQ"/>
      <sheetName val="DRONQ"/>
      <sheetName val="DRM"/>
      <sheetName val="Liste"/>
      <sheetName val="Menu déroulant"/>
      <sheetName val="92-95"/>
      <sheetName val="Montage financier"/>
    </sheetNames>
    <sheetDataSet>
      <sheetData sheetId="0" refreshError="1"/>
      <sheetData sheetId="1" refreshError="1"/>
      <sheetData sheetId="2" refreshError="1"/>
      <sheetData sheetId="3" refreshError="1"/>
      <sheetData sheetId="4" refreshError="1"/>
      <sheetData sheetId="5" refreshError="1"/>
      <sheetData sheetId="6">
        <row r="3">
          <cell r="A3" t="str">
            <v>Aménagement - location</v>
          </cell>
        </row>
        <row r="4">
          <cell r="A4" t="str">
            <v>Réaménagement - location</v>
          </cell>
        </row>
        <row r="5">
          <cell r="A5" t="str">
            <v>Construction - installation</v>
          </cell>
        </row>
        <row r="6">
          <cell r="A6" t="str">
            <v>Agrandissement -installation</v>
          </cell>
        </row>
        <row r="7">
          <cell r="A7" t="str">
            <v>Réaménagement -installation</v>
          </cell>
        </row>
        <row r="8">
          <cell r="A8" t="str">
            <v>Sans réaménagement</v>
          </cell>
        </row>
        <row r="9">
          <cell r="A9" t="str">
            <v>Achat et réaménagement - bâtiment</v>
          </cell>
        </row>
        <row r="10">
          <cell r="A10" t="str">
            <v>Changement de localisation</v>
          </cell>
        </row>
        <row r="11">
          <cell r="A11" t="str">
            <v>Non déterminé</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des places en réalisation"/>
      <sheetName val="Sommaire par type et nature"/>
      <sheetName val="Sommaire par type de travaux"/>
      <sheetName val="Sommaire par type de travaux VF"/>
      <sheetName val="Liste Valeurs"/>
      <sheetName val="Réalisation planifiée_ADP 2013 "/>
      <sheetName val="DRCNEQ"/>
      <sheetName val="DRCSQ"/>
      <sheetName val="DRONQ"/>
      <sheetName val="DRM"/>
      <sheetName val="Feuil1"/>
      <sheetName val="Feuil2"/>
      <sheetName val="Liste NE PAS EFFACER"/>
      <sheetName val="Montage financier"/>
      <sheetName val="Annexe 3_coûts détaillés"/>
    </sheetNames>
    <sheetDataSet>
      <sheetData sheetId="0"/>
      <sheetData sheetId="1"/>
      <sheetData sheetId="2"/>
      <sheetData sheetId="3"/>
      <sheetData sheetId="4">
        <row r="3">
          <cell r="A3" t="str">
            <v>Aménagement - location</v>
          </cell>
          <cell r="B3" t="str">
            <v>Oui</v>
          </cell>
        </row>
        <row r="4">
          <cell r="B4" t="str">
            <v>Non</v>
          </cell>
        </row>
        <row r="5">
          <cell r="B5" t="str">
            <v>Non déterminé</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3"/>
      <sheetName val="Macro1"/>
      <sheetName val="Annexe 3_coûts détaillés"/>
    </sheetNames>
    <sheetDataSet>
      <sheetData sheetId="0"/>
      <sheetData sheetId="1">
        <row r="148">
          <cell r="A148" t="str">
            <v>Recover</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ynthèse 31 juil 2016"/>
      <sheetName val="Synthèse 2016-09-30"/>
      <sheetName val="Synthèse dynamique oct 2016"/>
      <sheetName val="29 février 2020 étapes"/>
      <sheetName val="Choisir le type de projet"/>
      <sheetName val="Table des matières"/>
      <sheetName val="5,1"/>
      <sheetName val="5,2"/>
      <sheetName val="5,3"/>
      <sheetName val="5,4"/>
      <sheetName val="5,5"/>
      <sheetName val="5,6"/>
      <sheetName val="5,7"/>
      <sheetName val="5,8"/>
      <sheetName val="5,9"/>
      <sheetName val="5,10"/>
      <sheetName val="RB PFI 2024-2025"/>
      <sheetName val="Taux"/>
      <sheetName val="Base"/>
      <sheetName val="Poupons"/>
      <sheetName val="Multi"/>
      <sheetName val="Autres enveloppes"/>
      <sheetName val="Appel 2011 au dev et Réal"/>
      <sheetName val="Appel 2013 - Au dév - En réal"/>
      <sheetName val="S. dynamique 2016-05-31"/>
      <sheetName val="Synthèse-PFI 50% Tisserand 2 pr"/>
      <sheetName val="Synthèse-PFI 50%"/>
      <sheetName val="Synthèse complète"/>
      <sheetName val="2011"/>
      <sheetName val="2013"/>
      <sheetName val="Feuil2"/>
      <sheetName val="Étapes2008_Autoch 08 2011 2015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14">
          <cell r="S114">
            <v>22055</v>
          </cell>
          <cell r="T114">
            <v>24549</v>
          </cell>
          <cell r="U114">
            <v>25391</v>
          </cell>
        </row>
      </sheetData>
      <sheetData sheetId="19">
        <row r="2">
          <cell r="T2">
            <v>9463</v>
          </cell>
        </row>
      </sheetData>
      <sheetData sheetId="20">
        <row r="19">
          <cell r="T19">
            <v>3423</v>
          </cell>
          <cell r="U19">
            <v>3810.0000000000005</v>
          </cell>
          <cell r="V19">
            <v>3941</v>
          </cell>
        </row>
      </sheetData>
      <sheetData sheetId="21">
        <row r="6">
          <cell r="T6">
            <v>1057</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1B8AE7-0D54-40D7-9438-502386055F11}" name="Tableau1" displayName="Tableau1" ref="AE7:AF11" totalsRowShown="0" headerRowDxfId="3" dataDxfId="2">
  <tableColumns count="2">
    <tableColumn id="1" xr3:uid="{8D4ED58C-7C80-4A85-835E-150608F11F3C}" name="Coût du projet" dataDxfId="1"/>
    <tableColumn id="2" xr3:uid="{60EDBD8A-F372-466E-9EA8-9D83116A570C}" name="Élément 1" dataDxfId="0"/>
  </tableColumns>
  <tableStyleInfo name="TableStyleLight13"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B1:O40"/>
  <sheetViews>
    <sheetView tabSelected="1" zoomScale="90" zoomScaleNormal="90" workbookViewId="0">
      <selection activeCell="E22" activeCellId="8" sqref="C8:D9 C12 C14 C16 C18 F14 F16 E21 E22 B4:L4"/>
    </sheetView>
  </sheetViews>
  <sheetFormatPr baseColWidth="10" defaultColWidth="9.08984375" defaultRowHeight="14.5" x14ac:dyDescent="0.35"/>
  <cols>
    <col min="1" max="1" width="9.08984375" style="202"/>
    <col min="2" max="2" width="23.54296875" style="202" customWidth="1"/>
    <col min="3" max="3" width="15.453125" style="202" customWidth="1"/>
    <col min="4" max="4" width="16.90625" style="202" customWidth="1"/>
    <col min="5" max="5" width="16.453125" style="202" customWidth="1"/>
    <col min="6" max="10" width="9.08984375" style="202"/>
    <col min="11" max="11" width="64.36328125" style="202" customWidth="1"/>
    <col min="12" max="12" width="23.453125" style="202" customWidth="1"/>
    <col min="13" max="14" width="9.08984375" style="202"/>
    <col min="15" max="15" width="14.453125" style="202" bestFit="1" customWidth="1"/>
    <col min="16" max="16384" width="9.08984375" style="202"/>
  </cols>
  <sheetData>
    <row r="1" spans="2:13" ht="72.75" customHeight="1" x14ac:dyDescent="0.35">
      <c r="B1" s="248" t="s">
        <v>199</v>
      </c>
      <c r="C1" s="248"/>
      <c r="D1" s="248"/>
      <c r="E1" s="248"/>
      <c r="F1" s="248"/>
      <c r="G1" s="248"/>
      <c r="H1" s="248"/>
      <c r="I1" s="248"/>
      <c r="J1" s="248"/>
      <c r="K1" s="248"/>
      <c r="L1" s="248"/>
    </row>
    <row r="2" spans="2:13" ht="147" customHeight="1" x14ac:dyDescent="0.35">
      <c r="B2" s="248" t="s">
        <v>206</v>
      </c>
      <c r="C2" s="248"/>
      <c r="D2" s="248"/>
      <c r="E2" s="248"/>
      <c r="F2" s="248"/>
      <c r="G2" s="248"/>
      <c r="H2" s="248"/>
      <c r="I2" s="248"/>
      <c r="J2" s="248"/>
      <c r="K2" s="248"/>
      <c r="L2" s="248"/>
    </row>
    <row r="3" spans="2:13" ht="15" thickBot="1" x14ac:dyDescent="0.4">
      <c r="M3" s="228"/>
    </row>
    <row r="4" spans="2:13" ht="47.25" customHeight="1" thickBot="1" x14ac:dyDescent="0.65">
      <c r="B4" s="253"/>
      <c r="C4" s="254"/>
      <c r="D4" s="254"/>
      <c r="E4" s="254"/>
      <c r="F4" s="254"/>
      <c r="G4" s="254"/>
      <c r="H4" s="254"/>
      <c r="I4" s="254"/>
      <c r="J4" s="254"/>
      <c r="K4" s="254"/>
      <c r="L4" s="255"/>
    </row>
    <row r="5" spans="2:13" ht="27.75" customHeight="1" thickBot="1" x14ac:dyDescent="0.4"/>
    <row r="6" spans="2:13" ht="26.25" customHeight="1" x14ac:dyDescent="0.35">
      <c r="B6" s="256" t="s">
        <v>64</v>
      </c>
      <c r="C6" s="257"/>
      <c r="D6" s="257"/>
      <c r="E6" s="257"/>
      <c r="F6" s="257"/>
      <c r="G6" s="257"/>
      <c r="H6" s="258"/>
      <c r="K6" s="233" t="s">
        <v>105</v>
      </c>
      <c r="L6" s="234" t="s">
        <v>106</v>
      </c>
    </row>
    <row r="7" spans="2:13" x14ac:dyDescent="0.35">
      <c r="B7" s="230" t="s">
        <v>200</v>
      </c>
      <c r="C7" s="232" t="s">
        <v>68</v>
      </c>
      <c r="D7" s="232" t="s">
        <v>69</v>
      </c>
      <c r="E7" s="232" t="s">
        <v>70</v>
      </c>
      <c r="F7" s="203"/>
      <c r="G7" s="203"/>
      <c r="H7" s="204"/>
      <c r="K7" s="235" t="s">
        <v>107</v>
      </c>
      <c r="L7" s="236"/>
    </row>
    <row r="8" spans="2:13" x14ac:dyDescent="0.35">
      <c r="B8" s="231" t="s">
        <v>65</v>
      </c>
      <c r="C8" s="246"/>
      <c r="D8" s="246"/>
      <c r="E8" s="247">
        <f>C8+D8</f>
        <v>0</v>
      </c>
      <c r="F8" s="203"/>
      <c r="G8" s="203"/>
      <c r="H8" s="204"/>
      <c r="K8" s="237" t="s">
        <v>191</v>
      </c>
      <c r="L8" s="238">
        <f>IFERROR(_xlfn.XLOOKUP(B4,macros!AK13:AK30,macros!AN13:AN30),0)</f>
        <v>0</v>
      </c>
    </row>
    <row r="9" spans="2:13" x14ac:dyDescent="0.35">
      <c r="B9" s="231" t="s">
        <v>66</v>
      </c>
      <c r="C9" s="246"/>
      <c r="D9" s="246"/>
      <c r="E9" s="247">
        <f>C9+D9</f>
        <v>0</v>
      </c>
      <c r="F9" s="214" t="s">
        <v>190</v>
      </c>
      <c r="G9" s="203"/>
      <c r="H9" s="204"/>
      <c r="K9" s="239" t="s">
        <v>108</v>
      </c>
      <c r="L9" s="238">
        <f>IF(E10=0,0,_xlfn.XLOOKUP(B4,macros!AA4:AA23,macros!AD4:AD23))</f>
        <v>0</v>
      </c>
    </row>
    <row r="10" spans="2:13" x14ac:dyDescent="0.35">
      <c r="B10" s="231" t="s">
        <v>67</v>
      </c>
      <c r="C10" s="247">
        <f>C8+C9</f>
        <v>0</v>
      </c>
      <c r="D10" s="247">
        <f>D8+D9</f>
        <v>0</v>
      </c>
      <c r="E10" s="247">
        <f>C10+D10</f>
        <v>0</v>
      </c>
      <c r="F10" s="203"/>
      <c r="G10" s="203"/>
      <c r="H10" s="204"/>
      <c r="K10" s="239" t="s">
        <v>109</v>
      </c>
      <c r="L10" s="168">
        <f>IFERROR(_xlfn.XLOOKUP(B4,macros!AF6:AF23,macros!AI6:AI23),0)</f>
        <v>0</v>
      </c>
    </row>
    <row r="11" spans="2:13" x14ac:dyDescent="0.35">
      <c r="B11" s="206"/>
      <c r="C11" s="203"/>
      <c r="D11" s="203"/>
      <c r="E11" s="203"/>
      <c r="F11" s="203"/>
      <c r="G11" s="203"/>
      <c r="H11" s="204"/>
      <c r="K11" s="239" t="s">
        <v>110</v>
      </c>
      <c r="L11" s="169">
        <f>L9+L10+L8</f>
        <v>0</v>
      </c>
    </row>
    <row r="12" spans="2:13" x14ac:dyDescent="0.35">
      <c r="B12" s="231" t="s">
        <v>205</v>
      </c>
      <c r="C12" s="207"/>
      <c r="D12" s="203"/>
      <c r="E12" s="203"/>
      <c r="F12" s="203"/>
      <c r="G12" s="203"/>
      <c r="H12" s="204"/>
      <c r="K12" s="239" t="s">
        <v>111</v>
      </c>
      <c r="L12" s="168">
        <f>IF(C12="oui",VLOOKUP($B$4,macros!$G$4:$J$23,4,FALSE),0)</f>
        <v>0</v>
      </c>
    </row>
    <row r="13" spans="2:13" x14ac:dyDescent="0.35">
      <c r="B13" s="206"/>
      <c r="C13" s="203"/>
      <c r="D13" s="203"/>
      <c r="E13" s="203"/>
      <c r="F13" s="203"/>
      <c r="G13" s="203"/>
      <c r="H13" s="204"/>
      <c r="K13" s="239" t="s">
        <v>112</v>
      </c>
      <c r="L13" s="169">
        <f>L11+L12</f>
        <v>0</v>
      </c>
    </row>
    <row r="14" spans="2:13" x14ac:dyDescent="0.35">
      <c r="B14" s="231" t="s">
        <v>158</v>
      </c>
      <c r="C14" s="207"/>
      <c r="D14" s="259" t="s">
        <v>201</v>
      </c>
      <c r="E14" s="259"/>
      <c r="F14" s="208"/>
      <c r="G14" s="203"/>
      <c r="H14" s="204"/>
      <c r="K14" s="239" t="s">
        <v>113</v>
      </c>
      <c r="L14" s="170">
        <f>IFERROR(VLOOKUP($C$18,'RB PFI 2025-2026'!$L$8:$N$36,3),0)</f>
        <v>0</v>
      </c>
    </row>
    <row r="15" spans="2:13" x14ac:dyDescent="0.35">
      <c r="B15" s="206"/>
      <c r="C15" s="203"/>
      <c r="D15" s="203"/>
      <c r="E15" s="203"/>
      <c r="F15" s="203"/>
      <c r="G15" s="203"/>
      <c r="H15" s="204"/>
      <c r="K15" s="239" t="s">
        <v>110</v>
      </c>
      <c r="L15" s="171">
        <f>L13*L14</f>
        <v>0</v>
      </c>
    </row>
    <row r="16" spans="2:13" x14ac:dyDescent="0.35">
      <c r="B16" s="231" t="s">
        <v>207</v>
      </c>
      <c r="C16" s="207"/>
      <c r="D16" s="259" t="s">
        <v>201</v>
      </c>
      <c r="E16" s="259"/>
      <c r="F16" s="208"/>
      <c r="G16" s="203"/>
      <c r="H16" s="204"/>
      <c r="K16" s="192" t="s">
        <v>120</v>
      </c>
      <c r="L16" s="193">
        <f>IFERROR(VLOOKUP($B$4,macros!$B$6:$E$23,4),0)</f>
        <v>0</v>
      </c>
    </row>
    <row r="17" spans="2:15" x14ac:dyDescent="0.35">
      <c r="B17" s="206"/>
      <c r="C17" s="203"/>
      <c r="D17" s="203"/>
      <c r="E17" s="203"/>
      <c r="F17" s="203"/>
      <c r="G17" s="203"/>
      <c r="H17" s="204"/>
      <c r="K17" s="192" t="s">
        <v>110</v>
      </c>
      <c r="L17" s="194">
        <f>L15*L16</f>
        <v>0</v>
      </c>
    </row>
    <row r="18" spans="2:15" x14ac:dyDescent="0.35">
      <c r="B18" s="231" t="s">
        <v>22</v>
      </c>
      <c r="C18" s="207"/>
      <c r="D18" s="260" t="e">
        <f>VLOOKUP(C18,'RB PFI 2025-2026'!L8:M36,2)</f>
        <v>#N/A</v>
      </c>
      <c r="E18" s="260"/>
      <c r="F18" s="260"/>
      <c r="G18" s="260"/>
      <c r="H18" s="204"/>
      <c r="K18" s="192" t="s">
        <v>121</v>
      </c>
      <c r="L18" s="195">
        <f>IF(C14="oui",VLOOKUP($B$4,macros!$V$4:$Y$23,4,FALSE),1)</f>
        <v>1</v>
      </c>
    </row>
    <row r="19" spans="2:15" x14ac:dyDescent="0.35">
      <c r="B19" s="205"/>
      <c r="C19" s="209"/>
      <c r="D19" s="203"/>
      <c r="E19" s="203"/>
      <c r="F19" s="203"/>
      <c r="G19" s="203"/>
      <c r="H19" s="204"/>
      <c r="K19" s="192" t="s">
        <v>110</v>
      </c>
      <c r="L19" s="196">
        <f>L17*L18</f>
        <v>0</v>
      </c>
    </row>
    <row r="20" spans="2:15" x14ac:dyDescent="0.35">
      <c r="B20" s="206"/>
      <c r="C20" s="203"/>
      <c r="D20" s="203"/>
      <c r="E20" s="203"/>
      <c r="F20" s="203"/>
      <c r="G20" s="203"/>
      <c r="H20" s="204"/>
      <c r="K20" s="192" t="s">
        <v>114</v>
      </c>
      <c r="L20" s="195">
        <f>IF(C16="oui",VLOOKUP($B$4,macros!$Q$4:$T$23,4,FALSE),1)</f>
        <v>1</v>
      </c>
    </row>
    <row r="21" spans="2:15" x14ac:dyDescent="0.35">
      <c r="B21" s="249" t="s">
        <v>202</v>
      </c>
      <c r="C21" s="250"/>
      <c r="D21" s="250"/>
      <c r="E21" s="210"/>
      <c r="F21" s="203"/>
      <c r="G21" s="203"/>
      <c r="H21" s="204"/>
      <c r="K21" s="240" t="s">
        <v>115</v>
      </c>
      <c r="L21" s="197">
        <f>L19*L20</f>
        <v>0</v>
      </c>
    </row>
    <row r="22" spans="2:15" ht="15" thickBot="1" x14ac:dyDescent="0.4">
      <c r="B22" s="251" t="s">
        <v>130</v>
      </c>
      <c r="C22" s="252"/>
      <c r="D22" s="252"/>
      <c r="E22" s="211"/>
      <c r="F22" s="212"/>
      <c r="G22" s="212"/>
      <c r="H22" s="213"/>
      <c r="K22" s="241"/>
      <c r="L22" s="192"/>
    </row>
    <row r="23" spans="2:15" x14ac:dyDescent="0.35">
      <c r="F23" s="203"/>
      <c r="G23" s="203"/>
      <c r="H23" s="203"/>
      <c r="K23" s="240" t="s">
        <v>116</v>
      </c>
      <c r="L23" s="198"/>
      <c r="O23" s="229"/>
    </row>
    <row r="24" spans="2:15" x14ac:dyDescent="0.35">
      <c r="K24" s="242" t="s">
        <v>123</v>
      </c>
      <c r="L24" s="199">
        <f>IF(E10=0,0,_xlfn.XLOOKUP(B4,macros!J32:J49,macros!N32:N49,0))</f>
        <v>0</v>
      </c>
    </row>
    <row r="25" spans="2:15" x14ac:dyDescent="0.35">
      <c r="K25" s="242" t="s">
        <v>124</v>
      </c>
      <c r="L25" s="199">
        <f>IFERROR(_xlfn.XLOOKUP(B4,macros!B32:B49,macros!E32:E49),0)</f>
        <v>0</v>
      </c>
    </row>
    <row r="26" spans="2:15" x14ac:dyDescent="0.35">
      <c r="K26" s="242" t="s">
        <v>125</v>
      </c>
      <c r="L26" s="199">
        <f>IFERROR(_xlfn.XLOOKUP(B4,macros!F32:F49,macros!I32:I49),0)</f>
        <v>0</v>
      </c>
    </row>
    <row r="27" spans="2:15" x14ac:dyDescent="0.35">
      <c r="K27" s="240" t="s">
        <v>122</v>
      </c>
      <c r="L27" s="200">
        <f>L24+L25+L26</f>
        <v>0</v>
      </c>
    </row>
    <row r="28" spans="2:15" x14ac:dyDescent="0.35">
      <c r="K28" s="192"/>
      <c r="L28" s="199"/>
    </row>
    <row r="29" spans="2:15" x14ac:dyDescent="0.35">
      <c r="K29" s="240" t="s">
        <v>117</v>
      </c>
      <c r="L29" s="201">
        <f>IFERROR(_xlfn.XLOOKUP(B4,macros!B55:B72,macros!E55:E72),0)</f>
        <v>0</v>
      </c>
    </row>
    <row r="30" spans="2:15" x14ac:dyDescent="0.35">
      <c r="K30" s="240"/>
      <c r="L30" s="201"/>
    </row>
    <row r="31" spans="2:15" x14ac:dyDescent="0.35">
      <c r="K31" s="240" t="s">
        <v>126</v>
      </c>
      <c r="L31" s="201"/>
    </row>
    <row r="32" spans="2:15" x14ac:dyDescent="0.35">
      <c r="K32" s="242" t="s">
        <v>127</v>
      </c>
      <c r="L32" s="172">
        <f>VLOOKUP(macros!B89,macros!D93:F96,3)</f>
        <v>0</v>
      </c>
    </row>
    <row r="33" spans="11:15" x14ac:dyDescent="0.35">
      <c r="K33" s="242" t="s">
        <v>128</v>
      </c>
      <c r="L33" s="201">
        <f>IFERROR(_xlfn.XLOOKUP(B4,macros!J78:J95,macros!M78:M95),0)</f>
        <v>0</v>
      </c>
    </row>
    <row r="34" spans="11:15" x14ac:dyDescent="0.35">
      <c r="K34" s="240" t="s">
        <v>129</v>
      </c>
      <c r="L34" s="172">
        <f>L32+L33</f>
        <v>0</v>
      </c>
    </row>
    <row r="35" spans="11:15" x14ac:dyDescent="0.35">
      <c r="K35" s="240"/>
      <c r="L35" s="172"/>
    </row>
    <row r="36" spans="11:15" x14ac:dyDescent="0.35">
      <c r="K36" s="240" t="s">
        <v>118</v>
      </c>
      <c r="L36" s="198">
        <f>IFERROR(_xlfn.XLOOKUP(B4,macros!G55:G72,macros!J55:J72),0)</f>
        <v>0</v>
      </c>
    </row>
    <row r="37" spans="11:15" x14ac:dyDescent="0.35">
      <c r="K37" s="240" t="s">
        <v>119</v>
      </c>
      <c r="L37" s="172">
        <f>E21</f>
        <v>0</v>
      </c>
    </row>
    <row r="38" spans="11:15" x14ac:dyDescent="0.35">
      <c r="K38" s="235" t="s">
        <v>130</v>
      </c>
      <c r="L38" s="172">
        <f>IFERROR(VLOOKUP($B$4,macros!$B$101:$E$117,4),0)</f>
        <v>0</v>
      </c>
      <c r="O38" s="229"/>
    </row>
    <row r="39" spans="11:15" ht="15" thickBot="1" x14ac:dyDescent="0.4">
      <c r="K39" s="235"/>
      <c r="L39" s="243"/>
      <c r="O39" s="229"/>
    </row>
    <row r="40" spans="11:15" ht="15" thickBot="1" x14ac:dyDescent="0.4">
      <c r="K40" s="244" t="s">
        <v>166</v>
      </c>
      <c r="L40" s="245">
        <f>L21+L27+L29+L34+L36+L38+L37</f>
        <v>0</v>
      </c>
    </row>
  </sheetData>
  <sheetProtection algorithmName="SHA-512" hashValue="yVCfGDur+RmnnVkAt/VjMllXdZS6MlYvfWFrIKHWgHPmFJmB8zSCFOUylVvhAooVmagSECrLs6k7pmILkenvmQ==" saltValue="OlZpkd6KApjecNw/kVBMZg==" spinCount="100000" sheet="1" objects="1" scenarios="1"/>
  <mergeCells count="9">
    <mergeCell ref="B1:L1"/>
    <mergeCell ref="B2:L2"/>
    <mergeCell ref="B21:D21"/>
    <mergeCell ref="B22:D22"/>
    <mergeCell ref="B4:L4"/>
    <mergeCell ref="B6:H6"/>
    <mergeCell ref="D14:E14"/>
    <mergeCell ref="D16:E16"/>
    <mergeCell ref="D18:G18"/>
  </mergeCells>
  <conditionalFormatting sqref="K24:K26">
    <cfRule type="cellIs" dxfId="5" priority="2" stopIfTrue="1" operator="lessThanOrEqual">
      <formula>0</formula>
    </cfRule>
  </conditionalFormatting>
  <conditionalFormatting sqref="K32:K33">
    <cfRule type="cellIs" dxfId="4" priority="1" stopIfTrue="1" operator="lessThanOrEqual">
      <formula>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82FD6A2-7314-41A1-976B-B2B459D6E3C6}">
          <x14:formula1>
            <xm:f>macros!$B$32:$B$49</xm:f>
          </x14:formula1>
          <xm:sqref>B4:L4</xm:sqref>
        </x14:dataValidation>
        <x14:dataValidation type="list" allowBlank="1" showInputMessage="1" showErrorMessage="1" xr:uid="{4C37AE0E-FAE9-40BD-A262-923FB0CEAE9C}">
          <x14:formula1>
            <xm:f>macros!$B$26:$B$27</xm:f>
          </x14:formula1>
          <xm:sqref>C12 C14 C16</xm:sqref>
        </x14:dataValidation>
        <x14:dataValidation type="list" allowBlank="1" showInputMessage="1" showErrorMessage="1" xr:uid="{B9966801-490F-412E-9384-C3038BEDD918}">
          <x14:formula1>
            <xm:f>'RB PFI 2025-2026'!$M$8:$M$36</xm:f>
          </x14:formula1>
          <xm:sqref>D20:D21</xm:sqref>
        </x14:dataValidation>
        <x14:dataValidation type="list" allowBlank="1" showInputMessage="1" showErrorMessage="1" xr:uid="{D5CA2DEA-D0E1-4059-90B3-B84ECB0663D4}">
          <x14:formula1>
            <xm:f>'RB PFI 2025-2026'!$L$39:$L$67</xm:f>
          </x14:formula1>
          <xm:sqref>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0925E-A5A5-4A5F-BA65-3F11DA0109FF}">
  <sheetPr codeName="Feuil17">
    <tabColor theme="6" tint="0.59999389629810485"/>
  </sheetPr>
  <dimension ref="A1:AQ318"/>
  <sheetViews>
    <sheetView topLeftCell="A9" workbookViewId="0">
      <selection activeCell="G26" sqref="G26"/>
    </sheetView>
  </sheetViews>
  <sheetFormatPr baseColWidth="10" defaultColWidth="11.453125" defaultRowHeight="14.5" x14ac:dyDescent="0.35"/>
  <cols>
    <col min="2" max="2" width="11.90625" bestFit="1" customWidth="1"/>
    <col min="3" max="3" width="14.08984375" customWidth="1"/>
    <col min="4" max="4" width="13.90625" customWidth="1"/>
    <col min="5" max="5" width="3.08984375" style="2" customWidth="1"/>
    <col min="6" max="6" width="8.453125" bestFit="1" customWidth="1"/>
    <col min="7" max="7" width="9.54296875" customWidth="1"/>
    <col min="8" max="8" width="3.08984375" style="2" customWidth="1"/>
    <col min="9" max="9" width="16.453125" bestFit="1" customWidth="1"/>
    <col min="10" max="10" width="14.54296875" customWidth="1"/>
    <col min="11" max="11" width="3.08984375" style="2" customWidth="1"/>
    <col min="12" max="12" width="5.90625" customWidth="1"/>
    <col min="13" max="13" width="54.08984375" bestFit="1" customWidth="1"/>
    <col min="15" max="15" width="3.08984375" style="2" customWidth="1"/>
    <col min="17" max="17" width="33.08984375" customWidth="1"/>
    <col min="18" max="18" width="5.54296875" customWidth="1"/>
    <col min="19" max="19" width="3.08984375" style="2" customWidth="1"/>
    <col min="20" max="20" width="9.453125" customWidth="1"/>
    <col min="21" max="21" width="12.90625" customWidth="1"/>
    <col min="22" max="22" width="12" customWidth="1"/>
    <col min="23" max="23" width="12.54296875" customWidth="1"/>
    <col min="24" max="24" width="18.90625" customWidth="1"/>
    <col min="25" max="25" width="3.08984375" style="2" customWidth="1"/>
    <col min="30" max="30" width="3.08984375" style="2" customWidth="1"/>
    <col min="31" max="31" width="29.453125" customWidth="1"/>
    <col min="32" max="32" width="44.54296875" customWidth="1"/>
    <col min="33" max="33" width="3.08984375" style="2" customWidth="1"/>
    <col min="34" max="34" width="55.08984375" bestFit="1" customWidth="1"/>
    <col min="36" max="36" width="3.08984375" style="2" customWidth="1"/>
    <col min="37" max="37" width="21.08984375" bestFit="1" customWidth="1"/>
    <col min="38" max="38" width="10.90625" customWidth="1"/>
    <col min="39" max="39" width="3.08984375" style="2" customWidth="1"/>
    <col min="42" max="42" width="3.08984375" style="2" customWidth="1"/>
    <col min="253" max="253" width="14.08984375" customWidth="1"/>
    <col min="254" max="254" width="13.90625" customWidth="1"/>
    <col min="255" max="255" width="3.08984375" customWidth="1"/>
    <col min="256" max="256" width="8.453125" bestFit="1" customWidth="1"/>
    <col min="257" max="257" width="8.90625" bestFit="1" customWidth="1"/>
    <col min="258" max="258" width="3.08984375" customWidth="1"/>
    <col min="259" max="259" width="16.453125" bestFit="1" customWidth="1"/>
    <col min="260" max="260" width="14.54296875" customWidth="1"/>
    <col min="261" max="261" width="3.08984375" customWidth="1"/>
    <col min="262" max="262" width="5.90625" customWidth="1"/>
    <col min="263" max="263" width="54.08984375" bestFit="1" customWidth="1"/>
    <col min="265" max="265" width="3.08984375" customWidth="1"/>
    <col min="267" max="267" width="32" customWidth="1"/>
    <col min="268" max="268" width="5.54296875" customWidth="1"/>
    <col min="269" max="269" width="3.08984375" customWidth="1"/>
    <col min="270" max="270" width="14.08984375" customWidth="1"/>
    <col min="271" max="271" width="12.08984375" bestFit="1" customWidth="1"/>
    <col min="273" max="274" width="18.90625" customWidth="1"/>
    <col min="275" max="275" width="3.08984375" customWidth="1"/>
    <col min="280" max="280" width="3.08984375" customWidth="1"/>
    <col min="288" max="288" width="3.08984375" customWidth="1"/>
    <col min="295" max="295" width="3.08984375" customWidth="1"/>
    <col min="509" max="509" width="14.08984375" customWidth="1"/>
    <col min="510" max="510" width="13.90625" customWidth="1"/>
    <col min="511" max="511" width="3.08984375" customWidth="1"/>
    <col min="512" max="512" width="8.453125" bestFit="1" customWidth="1"/>
    <col min="513" max="513" width="8.90625" bestFit="1" customWidth="1"/>
    <col min="514" max="514" width="3.08984375" customWidth="1"/>
    <col min="515" max="515" width="16.453125" bestFit="1" customWidth="1"/>
    <col min="516" max="516" width="14.54296875" customWidth="1"/>
    <col min="517" max="517" width="3.08984375" customWidth="1"/>
    <col min="518" max="518" width="5.90625" customWidth="1"/>
    <col min="519" max="519" width="54.08984375" bestFit="1" customWidth="1"/>
    <col min="521" max="521" width="3.08984375" customWidth="1"/>
    <col min="523" max="523" width="32" customWidth="1"/>
    <col min="524" max="524" width="5.54296875" customWidth="1"/>
    <col min="525" max="525" width="3.08984375" customWidth="1"/>
    <col min="526" max="526" width="14.08984375" customWidth="1"/>
    <col min="527" max="527" width="12.08984375" bestFit="1" customWidth="1"/>
    <col min="529" max="530" width="18.90625" customWidth="1"/>
    <col min="531" max="531" width="3.08984375" customWidth="1"/>
    <col min="536" max="536" width="3.08984375" customWidth="1"/>
    <col min="544" max="544" width="3.08984375" customWidth="1"/>
    <col min="551" max="551" width="3.08984375" customWidth="1"/>
    <col min="765" max="765" width="14.08984375" customWidth="1"/>
    <col min="766" max="766" width="13.90625" customWidth="1"/>
    <col min="767" max="767" width="3.08984375" customWidth="1"/>
    <col min="768" max="768" width="8.453125" bestFit="1" customWidth="1"/>
    <col min="769" max="769" width="8.90625" bestFit="1" customWidth="1"/>
    <col min="770" max="770" width="3.08984375" customWidth="1"/>
    <col min="771" max="771" width="16.453125" bestFit="1" customWidth="1"/>
    <col min="772" max="772" width="14.54296875" customWidth="1"/>
    <col min="773" max="773" width="3.08984375" customWidth="1"/>
    <col min="774" max="774" width="5.90625" customWidth="1"/>
    <col min="775" max="775" width="54.08984375" bestFit="1" customWidth="1"/>
    <col min="777" max="777" width="3.08984375" customWidth="1"/>
    <col min="779" max="779" width="32" customWidth="1"/>
    <col min="780" max="780" width="5.54296875" customWidth="1"/>
    <col min="781" max="781" width="3.08984375" customWidth="1"/>
    <col min="782" max="782" width="14.08984375" customWidth="1"/>
    <col min="783" max="783" width="12.08984375" bestFit="1" customWidth="1"/>
    <col min="785" max="786" width="18.90625" customWidth="1"/>
    <col min="787" max="787" width="3.08984375" customWidth="1"/>
    <col min="792" max="792" width="3.08984375" customWidth="1"/>
    <col min="800" max="800" width="3.08984375" customWidth="1"/>
    <col min="807" max="807" width="3.08984375" customWidth="1"/>
    <col min="1021" max="1021" width="14.08984375" customWidth="1"/>
    <col min="1022" max="1022" width="13.90625" customWidth="1"/>
    <col min="1023" max="1023" width="3.08984375" customWidth="1"/>
    <col min="1024" max="1024" width="8.453125" bestFit="1" customWidth="1"/>
    <col min="1025" max="1025" width="8.90625" bestFit="1" customWidth="1"/>
    <col min="1026" max="1026" width="3.08984375" customWidth="1"/>
    <col min="1027" max="1027" width="16.453125" bestFit="1" customWidth="1"/>
    <col min="1028" max="1028" width="14.54296875" customWidth="1"/>
    <col min="1029" max="1029" width="3.08984375" customWidth="1"/>
    <col min="1030" max="1030" width="5.90625" customWidth="1"/>
    <col min="1031" max="1031" width="54.08984375" bestFit="1" customWidth="1"/>
    <col min="1033" max="1033" width="3.08984375" customWidth="1"/>
    <col min="1035" max="1035" width="32" customWidth="1"/>
    <col min="1036" max="1036" width="5.54296875" customWidth="1"/>
    <col min="1037" max="1037" width="3.08984375" customWidth="1"/>
    <col min="1038" max="1038" width="14.08984375" customWidth="1"/>
    <col min="1039" max="1039" width="12.08984375" bestFit="1" customWidth="1"/>
    <col min="1041" max="1042" width="18.90625" customWidth="1"/>
    <col min="1043" max="1043" width="3.08984375" customWidth="1"/>
    <col min="1048" max="1048" width="3.08984375" customWidth="1"/>
    <col min="1056" max="1056" width="3.08984375" customWidth="1"/>
    <col min="1063" max="1063" width="3.08984375" customWidth="1"/>
    <col min="1277" max="1277" width="14.08984375" customWidth="1"/>
    <col min="1278" max="1278" width="13.90625" customWidth="1"/>
    <col min="1279" max="1279" width="3.08984375" customWidth="1"/>
    <col min="1280" max="1280" width="8.453125" bestFit="1" customWidth="1"/>
    <col min="1281" max="1281" width="8.90625" bestFit="1" customWidth="1"/>
    <col min="1282" max="1282" width="3.08984375" customWidth="1"/>
    <col min="1283" max="1283" width="16.453125" bestFit="1" customWidth="1"/>
    <col min="1284" max="1284" width="14.54296875" customWidth="1"/>
    <col min="1285" max="1285" width="3.08984375" customWidth="1"/>
    <col min="1286" max="1286" width="5.90625" customWidth="1"/>
    <col min="1287" max="1287" width="54.08984375" bestFit="1" customWidth="1"/>
    <col min="1289" max="1289" width="3.08984375" customWidth="1"/>
    <col min="1291" max="1291" width="32" customWidth="1"/>
    <col min="1292" max="1292" width="5.54296875" customWidth="1"/>
    <col min="1293" max="1293" width="3.08984375" customWidth="1"/>
    <col min="1294" max="1294" width="14.08984375" customWidth="1"/>
    <col min="1295" max="1295" width="12.08984375" bestFit="1" customWidth="1"/>
    <col min="1297" max="1298" width="18.90625" customWidth="1"/>
    <col min="1299" max="1299" width="3.08984375" customWidth="1"/>
    <col min="1304" max="1304" width="3.08984375" customWidth="1"/>
    <col min="1312" max="1312" width="3.08984375" customWidth="1"/>
    <col min="1319" max="1319" width="3.08984375" customWidth="1"/>
    <col min="1533" max="1533" width="14.08984375" customWidth="1"/>
    <col min="1534" max="1534" width="13.90625" customWidth="1"/>
    <col min="1535" max="1535" width="3.08984375" customWidth="1"/>
    <col min="1536" max="1536" width="8.453125" bestFit="1" customWidth="1"/>
    <col min="1537" max="1537" width="8.90625" bestFit="1" customWidth="1"/>
    <col min="1538" max="1538" width="3.08984375" customWidth="1"/>
    <col min="1539" max="1539" width="16.453125" bestFit="1" customWidth="1"/>
    <col min="1540" max="1540" width="14.54296875" customWidth="1"/>
    <col min="1541" max="1541" width="3.08984375" customWidth="1"/>
    <col min="1542" max="1542" width="5.90625" customWidth="1"/>
    <col min="1543" max="1543" width="54.08984375" bestFit="1" customWidth="1"/>
    <col min="1545" max="1545" width="3.08984375" customWidth="1"/>
    <col min="1547" max="1547" width="32" customWidth="1"/>
    <col min="1548" max="1548" width="5.54296875" customWidth="1"/>
    <col min="1549" max="1549" width="3.08984375" customWidth="1"/>
    <col min="1550" max="1550" width="14.08984375" customWidth="1"/>
    <col min="1551" max="1551" width="12.08984375" bestFit="1" customWidth="1"/>
    <col min="1553" max="1554" width="18.90625" customWidth="1"/>
    <col min="1555" max="1555" width="3.08984375" customWidth="1"/>
    <col min="1560" max="1560" width="3.08984375" customWidth="1"/>
    <col min="1568" max="1568" width="3.08984375" customWidth="1"/>
    <col min="1575" max="1575" width="3.08984375" customWidth="1"/>
    <col min="1789" max="1789" width="14.08984375" customWidth="1"/>
    <col min="1790" max="1790" width="13.90625" customWidth="1"/>
    <col min="1791" max="1791" width="3.08984375" customWidth="1"/>
    <col min="1792" max="1792" width="8.453125" bestFit="1" customWidth="1"/>
    <col min="1793" max="1793" width="8.90625" bestFit="1" customWidth="1"/>
    <col min="1794" max="1794" width="3.08984375" customWidth="1"/>
    <col min="1795" max="1795" width="16.453125" bestFit="1" customWidth="1"/>
    <col min="1796" max="1796" width="14.54296875" customWidth="1"/>
    <col min="1797" max="1797" width="3.08984375" customWidth="1"/>
    <col min="1798" max="1798" width="5.90625" customWidth="1"/>
    <col min="1799" max="1799" width="54.08984375" bestFit="1" customWidth="1"/>
    <col min="1801" max="1801" width="3.08984375" customWidth="1"/>
    <col min="1803" max="1803" width="32" customWidth="1"/>
    <col min="1804" max="1804" width="5.54296875" customWidth="1"/>
    <col min="1805" max="1805" width="3.08984375" customWidth="1"/>
    <col min="1806" max="1806" width="14.08984375" customWidth="1"/>
    <col min="1807" max="1807" width="12.08984375" bestFit="1" customWidth="1"/>
    <col min="1809" max="1810" width="18.90625" customWidth="1"/>
    <col min="1811" max="1811" width="3.08984375" customWidth="1"/>
    <col min="1816" max="1816" width="3.08984375" customWidth="1"/>
    <col min="1824" max="1824" width="3.08984375" customWidth="1"/>
    <col min="1831" max="1831" width="3.08984375" customWidth="1"/>
    <col min="2045" max="2045" width="14.08984375" customWidth="1"/>
    <col min="2046" max="2046" width="13.90625" customWidth="1"/>
    <col min="2047" max="2047" width="3.08984375" customWidth="1"/>
    <col min="2048" max="2048" width="8.453125" bestFit="1" customWidth="1"/>
    <col min="2049" max="2049" width="8.90625" bestFit="1" customWidth="1"/>
    <col min="2050" max="2050" width="3.08984375" customWidth="1"/>
    <col min="2051" max="2051" width="16.453125" bestFit="1" customWidth="1"/>
    <col min="2052" max="2052" width="14.54296875" customWidth="1"/>
    <col min="2053" max="2053" width="3.08984375" customWidth="1"/>
    <col min="2054" max="2054" width="5.90625" customWidth="1"/>
    <col min="2055" max="2055" width="54.08984375" bestFit="1" customWidth="1"/>
    <col min="2057" max="2057" width="3.08984375" customWidth="1"/>
    <col min="2059" max="2059" width="32" customWidth="1"/>
    <col min="2060" max="2060" width="5.54296875" customWidth="1"/>
    <col min="2061" max="2061" width="3.08984375" customWidth="1"/>
    <col min="2062" max="2062" width="14.08984375" customWidth="1"/>
    <col min="2063" max="2063" width="12.08984375" bestFit="1" customWidth="1"/>
    <col min="2065" max="2066" width="18.90625" customWidth="1"/>
    <col min="2067" max="2067" width="3.08984375" customWidth="1"/>
    <col min="2072" max="2072" width="3.08984375" customWidth="1"/>
    <col min="2080" max="2080" width="3.08984375" customWidth="1"/>
    <col min="2087" max="2087" width="3.08984375" customWidth="1"/>
    <col min="2301" max="2301" width="14.08984375" customWidth="1"/>
    <col min="2302" max="2302" width="13.90625" customWidth="1"/>
    <col min="2303" max="2303" width="3.08984375" customWidth="1"/>
    <col min="2304" max="2304" width="8.453125" bestFit="1" customWidth="1"/>
    <col min="2305" max="2305" width="8.90625" bestFit="1" customWidth="1"/>
    <col min="2306" max="2306" width="3.08984375" customWidth="1"/>
    <col min="2307" max="2307" width="16.453125" bestFit="1" customWidth="1"/>
    <col min="2308" max="2308" width="14.54296875" customWidth="1"/>
    <col min="2309" max="2309" width="3.08984375" customWidth="1"/>
    <col min="2310" max="2310" width="5.90625" customWidth="1"/>
    <col min="2311" max="2311" width="54.08984375" bestFit="1" customWidth="1"/>
    <col min="2313" max="2313" width="3.08984375" customWidth="1"/>
    <col min="2315" max="2315" width="32" customWidth="1"/>
    <col min="2316" max="2316" width="5.54296875" customWidth="1"/>
    <col min="2317" max="2317" width="3.08984375" customWidth="1"/>
    <col min="2318" max="2318" width="14.08984375" customWidth="1"/>
    <col min="2319" max="2319" width="12.08984375" bestFit="1" customWidth="1"/>
    <col min="2321" max="2322" width="18.90625" customWidth="1"/>
    <col min="2323" max="2323" width="3.08984375" customWidth="1"/>
    <col min="2328" max="2328" width="3.08984375" customWidth="1"/>
    <col min="2336" max="2336" width="3.08984375" customWidth="1"/>
    <col min="2343" max="2343" width="3.08984375" customWidth="1"/>
    <col min="2557" max="2557" width="14.08984375" customWidth="1"/>
    <col min="2558" max="2558" width="13.90625" customWidth="1"/>
    <col min="2559" max="2559" width="3.08984375" customWidth="1"/>
    <col min="2560" max="2560" width="8.453125" bestFit="1" customWidth="1"/>
    <col min="2561" max="2561" width="8.90625" bestFit="1" customWidth="1"/>
    <col min="2562" max="2562" width="3.08984375" customWidth="1"/>
    <col min="2563" max="2563" width="16.453125" bestFit="1" customWidth="1"/>
    <col min="2564" max="2564" width="14.54296875" customWidth="1"/>
    <col min="2565" max="2565" width="3.08984375" customWidth="1"/>
    <col min="2566" max="2566" width="5.90625" customWidth="1"/>
    <col min="2567" max="2567" width="54.08984375" bestFit="1" customWidth="1"/>
    <col min="2569" max="2569" width="3.08984375" customWidth="1"/>
    <col min="2571" max="2571" width="32" customWidth="1"/>
    <col min="2572" max="2572" width="5.54296875" customWidth="1"/>
    <col min="2573" max="2573" width="3.08984375" customWidth="1"/>
    <col min="2574" max="2574" width="14.08984375" customWidth="1"/>
    <col min="2575" max="2575" width="12.08984375" bestFit="1" customWidth="1"/>
    <col min="2577" max="2578" width="18.90625" customWidth="1"/>
    <col min="2579" max="2579" width="3.08984375" customWidth="1"/>
    <col min="2584" max="2584" width="3.08984375" customWidth="1"/>
    <col min="2592" max="2592" width="3.08984375" customWidth="1"/>
    <col min="2599" max="2599" width="3.08984375" customWidth="1"/>
    <col min="2813" max="2813" width="14.08984375" customWidth="1"/>
    <col min="2814" max="2814" width="13.90625" customWidth="1"/>
    <col min="2815" max="2815" width="3.08984375" customWidth="1"/>
    <col min="2816" max="2816" width="8.453125" bestFit="1" customWidth="1"/>
    <col min="2817" max="2817" width="8.90625" bestFit="1" customWidth="1"/>
    <col min="2818" max="2818" width="3.08984375" customWidth="1"/>
    <col min="2819" max="2819" width="16.453125" bestFit="1" customWidth="1"/>
    <col min="2820" max="2820" width="14.54296875" customWidth="1"/>
    <col min="2821" max="2821" width="3.08984375" customWidth="1"/>
    <col min="2822" max="2822" width="5.90625" customWidth="1"/>
    <col min="2823" max="2823" width="54.08984375" bestFit="1" customWidth="1"/>
    <col min="2825" max="2825" width="3.08984375" customWidth="1"/>
    <col min="2827" max="2827" width="32" customWidth="1"/>
    <col min="2828" max="2828" width="5.54296875" customWidth="1"/>
    <col min="2829" max="2829" width="3.08984375" customWidth="1"/>
    <col min="2830" max="2830" width="14.08984375" customWidth="1"/>
    <col min="2831" max="2831" width="12.08984375" bestFit="1" customWidth="1"/>
    <col min="2833" max="2834" width="18.90625" customWidth="1"/>
    <col min="2835" max="2835" width="3.08984375" customWidth="1"/>
    <col min="2840" max="2840" width="3.08984375" customWidth="1"/>
    <col min="2848" max="2848" width="3.08984375" customWidth="1"/>
    <col min="2855" max="2855" width="3.08984375" customWidth="1"/>
    <col min="3069" max="3069" width="14.08984375" customWidth="1"/>
    <col min="3070" max="3070" width="13.90625" customWidth="1"/>
    <col min="3071" max="3071" width="3.08984375" customWidth="1"/>
    <col min="3072" max="3072" width="8.453125" bestFit="1" customWidth="1"/>
    <col min="3073" max="3073" width="8.90625" bestFit="1" customWidth="1"/>
    <col min="3074" max="3074" width="3.08984375" customWidth="1"/>
    <col min="3075" max="3075" width="16.453125" bestFit="1" customWidth="1"/>
    <col min="3076" max="3076" width="14.54296875" customWidth="1"/>
    <col min="3077" max="3077" width="3.08984375" customWidth="1"/>
    <col min="3078" max="3078" width="5.90625" customWidth="1"/>
    <col min="3079" max="3079" width="54.08984375" bestFit="1" customWidth="1"/>
    <col min="3081" max="3081" width="3.08984375" customWidth="1"/>
    <col min="3083" max="3083" width="32" customWidth="1"/>
    <col min="3084" max="3084" width="5.54296875" customWidth="1"/>
    <col min="3085" max="3085" width="3.08984375" customWidth="1"/>
    <col min="3086" max="3086" width="14.08984375" customWidth="1"/>
    <col min="3087" max="3087" width="12.08984375" bestFit="1" customWidth="1"/>
    <col min="3089" max="3090" width="18.90625" customWidth="1"/>
    <col min="3091" max="3091" width="3.08984375" customWidth="1"/>
    <col min="3096" max="3096" width="3.08984375" customWidth="1"/>
    <col min="3104" max="3104" width="3.08984375" customWidth="1"/>
    <col min="3111" max="3111" width="3.08984375" customWidth="1"/>
    <col min="3325" max="3325" width="14.08984375" customWidth="1"/>
    <col min="3326" max="3326" width="13.90625" customWidth="1"/>
    <col min="3327" max="3327" width="3.08984375" customWidth="1"/>
    <col min="3328" max="3328" width="8.453125" bestFit="1" customWidth="1"/>
    <col min="3329" max="3329" width="8.90625" bestFit="1" customWidth="1"/>
    <col min="3330" max="3330" width="3.08984375" customWidth="1"/>
    <col min="3331" max="3331" width="16.453125" bestFit="1" customWidth="1"/>
    <col min="3332" max="3332" width="14.54296875" customWidth="1"/>
    <col min="3333" max="3333" width="3.08984375" customWidth="1"/>
    <col min="3334" max="3334" width="5.90625" customWidth="1"/>
    <col min="3335" max="3335" width="54.08984375" bestFit="1" customWidth="1"/>
    <col min="3337" max="3337" width="3.08984375" customWidth="1"/>
    <col min="3339" max="3339" width="32" customWidth="1"/>
    <col min="3340" max="3340" width="5.54296875" customWidth="1"/>
    <col min="3341" max="3341" width="3.08984375" customWidth="1"/>
    <col min="3342" max="3342" width="14.08984375" customWidth="1"/>
    <col min="3343" max="3343" width="12.08984375" bestFit="1" customWidth="1"/>
    <col min="3345" max="3346" width="18.90625" customWidth="1"/>
    <col min="3347" max="3347" width="3.08984375" customWidth="1"/>
    <col min="3352" max="3352" width="3.08984375" customWidth="1"/>
    <col min="3360" max="3360" width="3.08984375" customWidth="1"/>
    <col min="3367" max="3367" width="3.08984375" customWidth="1"/>
    <col min="3581" max="3581" width="14.08984375" customWidth="1"/>
    <col min="3582" max="3582" width="13.90625" customWidth="1"/>
    <col min="3583" max="3583" width="3.08984375" customWidth="1"/>
    <col min="3584" max="3584" width="8.453125" bestFit="1" customWidth="1"/>
    <col min="3585" max="3585" width="8.90625" bestFit="1" customWidth="1"/>
    <col min="3586" max="3586" width="3.08984375" customWidth="1"/>
    <col min="3587" max="3587" width="16.453125" bestFit="1" customWidth="1"/>
    <col min="3588" max="3588" width="14.54296875" customWidth="1"/>
    <col min="3589" max="3589" width="3.08984375" customWidth="1"/>
    <col min="3590" max="3590" width="5.90625" customWidth="1"/>
    <col min="3591" max="3591" width="54.08984375" bestFit="1" customWidth="1"/>
    <col min="3593" max="3593" width="3.08984375" customWidth="1"/>
    <col min="3595" max="3595" width="32" customWidth="1"/>
    <col min="3596" max="3596" width="5.54296875" customWidth="1"/>
    <col min="3597" max="3597" width="3.08984375" customWidth="1"/>
    <col min="3598" max="3598" width="14.08984375" customWidth="1"/>
    <col min="3599" max="3599" width="12.08984375" bestFit="1" customWidth="1"/>
    <col min="3601" max="3602" width="18.90625" customWidth="1"/>
    <col min="3603" max="3603" width="3.08984375" customWidth="1"/>
    <col min="3608" max="3608" width="3.08984375" customWidth="1"/>
    <col min="3616" max="3616" width="3.08984375" customWidth="1"/>
    <col min="3623" max="3623" width="3.08984375" customWidth="1"/>
    <col min="3837" max="3837" width="14.08984375" customWidth="1"/>
    <col min="3838" max="3838" width="13.90625" customWidth="1"/>
    <col min="3839" max="3839" width="3.08984375" customWidth="1"/>
    <col min="3840" max="3840" width="8.453125" bestFit="1" customWidth="1"/>
    <col min="3841" max="3841" width="8.90625" bestFit="1" customWidth="1"/>
    <col min="3842" max="3842" width="3.08984375" customWidth="1"/>
    <col min="3843" max="3843" width="16.453125" bestFit="1" customWidth="1"/>
    <col min="3844" max="3844" width="14.54296875" customWidth="1"/>
    <col min="3845" max="3845" width="3.08984375" customWidth="1"/>
    <col min="3846" max="3846" width="5.90625" customWidth="1"/>
    <col min="3847" max="3847" width="54.08984375" bestFit="1" customWidth="1"/>
    <col min="3849" max="3849" width="3.08984375" customWidth="1"/>
    <col min="3851" max="3851" width="32" customWidth="1"/>
    <col min="3852" max="3852" width="5.54296875" customWidth="1"/>
    <col min="3853" max="3853" width="3.08984375" customWidth="1"/>
    <col min="3854" max="3854" width="14.08984375" customWidth="1"/>
    <col min="3855" max="3855" width="12.08984375" bestFit="1" customWidth="1"/>
    <col min="3857" max="3858" width="18.90625" customWidth="1"/>
    <col min="3859" max="3859" width="3.08984375" customWidth="1"/>
    <col min="3864" max="3864" width="3.08984375" customWidth="1"/>
    <col min="3872" max="3872" width="3.08984375" customWidth="1"/>
    <col min="3879" max="3879" width="3.08984375" customWidth="1"/>
    <col min="4093" max="4093" width="14.08984375" customWidth="1"/>
    <col min="4094" max="4094" width="13.90625" customWidth="1"/>
    <col min="4095" max="4095" width="3.08984375" customWidth="1"/>
    <col min="4096" max="4096" width="8.453125" bestFit="1" customWidth="1"/>
    <col min="4097" max="4097" width="8.90625" bestFit="1" customWidth="1"/>
    <col min="4098" max="4098" width="3.08984375" customWidth="1"/>
    <col min="4099" max="4099" width="16.453125" bestFit="1" customWidth="1"/>
    <col min="4100" max="4100" width="14.54296875" customWidth="1"/>
    <col min="4101" max="4101" width="3.08984375" customWidth="1"/>
    <col min="4102" max="4102" width="5.90625" customWidth="1"/>
    <col min="4103" max="4103" width="54.08984375" bestFit="1" customWidth="1"/>
    <col min="4105" max="4105" width="3.08984375" customWidth="1"/>
    <col min="4107" max="4107" width="32" customWidth="1"/>
    <col min="4108" max="4108" width="5.54296875" customWidth="1"/>
    <col min="4109" max="4109" width="3.08984375" customWidth="1"/>
    <col min="4110" max="4110" width="14.08984375" customWidth="1"/>
    <col min="4111" max="4111" width="12.08984375" bestFit="1" customWidth="1"/>
    <col min="4113" max="4114" width="18.90625" customWidth="1"/>
    <col min="4115" max="4115" width="3.08984375" customWidth="1"/>
    <col min="4120" max="4120" width="3.08984375" customWidth="1"/>
    <col min="4128" max="4128" width="3.08984375" customWidth="1"/>
    <col min="4135" max="4135" width="3.08984375" customWidth="1"/>
    <col min="4349" max="4349" width="14.08984375" customWidth="1"/>
    <col min="4350" max="4350" width="13.90625" customWidth="1"/>
    <col min="4351" max="4351" width="3.08984375" customWidth="1"/>
    <col min="4352" max="4352" width="8.453125" bestFit="1" customWidth="1"/>
    <col min="4353" max="4353" width="8.90625" bestFit="1" customWidth="1"/>
    <col min="4354" max="4354" width="3.08984375" customWidth="1"/>
    <col min="4355" max="4355" width="16.453125" bestFit="1" customWidth="1"/>
    <col min="4356" max="4356" width="14.54296875" customWidth="1"/>
    <col min="4357" max="4357" width="3.08984375" customWidth="1"/>
    <col min="4358" max="4358" width="5.90625" customWidth="1"/>
    <col min="4359" max="4359" width="54.08984375" bestFit="1" customWidth="1"/>
    <col min="4361" max="4361" width="3.08984375" customWidth="1"/>
    <col min="4363" max="4363" width="32" customWidth="1"/>
    <col min="4364" max="4364" width="5.54296875" customWidth="1"/>
    <col min="4365" max="4365" width="3.08984375" customWidth="1"/>
    <col min="4366" max="4366" width="14.08984375" customWidth="1"/>
    <col min="4367" max="4367" width="12.08984375" bestFit="1" customWidth="1"/>
    <col min="4369" max="4370" width="18.90625" customWidth="1"/>
    <col min="4371" max="4371" width="3.08984375" customWidth="1"/>
    <col min="4376" max="4376" width="3.08984375" customWidth="1"/>
    <col min="4384" max="4384" width="3.08984375" customWidth="1"/>
    <col min="4391" max="4391" width="3.08984375" customWidth="1"/>
    <col min="4605" max="4605" width="14.08984375" customWidth="1"/>
    <col min="4606" max="4606" width="13.90625" customWidth="1"/>
    <col min="4607" max="4607" width="3.08984375" customWidth="1"/>
    <col min="4608" max="4608" width="8.453125" bestFit="1" customWidth="1"/>
    <col min="4609" max="4609" width="8.90625" bestFit="1" customWidth="1"/>
    <col min="4610" max="4610" width="3.08984375" customWidth="1"/>
    <col min="4611" max="4611" width="16.453125" bestFit="1" customWidth="1"/>
    <col min="4612" max="4612" width="14.54296875" customWidth="1"/>
    <col min="4613" max="4613" width="3.08984375" customWidth="1"/>
    <col min="4614" max="4614" width="5.90625" customWidth="1"/>
    <col min="4615" max="4615" width="54.08984375" bestFit="1" customWidth="1"/>
    <col min="4617" max="4617" width="3.08984375" customWidth="1"/>
    <col min="4619" max="4619" width="32" customWidth="1"/>
    <col min="4620" max="4620" width="5.54296875" customWidth="1"/>
    <col min="4621" max="4621" width="3.08984375" customWidth="1"/>
    <col min="4622" max="4622" width="14.08984375" customWidth="1"/>
    <col min="4623" max="4623" width="12.08984375" bestFit="1" customWidth="1"/>
    <col min="4625" max="4626" width="18.90625" customWidth="1"/>
    <col min="4627" max="4627" width="3.08984375" customWidth="1"/>
    <col min="4632" max="4632" width="3.08984375" customWidth="1"/>
    <col min="4640" max="4640" width="3.08984375" customWidth="1"/>
    <col min="4647" max="4647" width="3.08984375" customWidth="1"/>
    <col min="4861" max="4861" width="14.08984375" customWidth="1"/>
    <col min="4862" max="4862" width="13.90625" customWidth="1"/>
    <col min="4863" max="4863" width="3.08984375" customWidth="1"/>
    <col min="4864" max="4864" width="8.453125" bestFit="1" customWidth="1"/>
    <col min="4865" max="4865" width="8.90625" bestFit="1" customWidth="1"/>
    <col min="4866" max="4866" width="3.08984375" customWidth="1"/>
    <col min="4867" max="4867" width="16.453125" bestFit="1" customWidth="1"/>
    <col min="4868" max="4868" width="14.54296875" customWidth="1"/>
    <col min="4869" max="4869" width="3.08984375" customWidth="1"/>
    <col min="4870" max="4870" width="5.90625" customWidth="1"/>
    <col min="4871" max="4871" width="54.08984375" bestFit="1" customWidth="1"/>
    <col min="4873" max="4873" width="3.08984375" customWidth="1"/>
    <col min="4875" max="4875" width="32" customWidth="1"/>
    <col min="4876" max="4876" width="5.54296875" customWidth="1"/>
    <col min="4877" max="4877" width="3.08984375" customWidth="1"/>
    <col min="4878" max="4878" width="14.08984375" customWidth="1"/>
    <col min="4879" max="4879" width="12.08984375" bestFit="1" customWidth="1"/>
    <col min="4881" max="4882" width="18.90625" customWidth="1"/>
    <col min="4883" max="4883" width="3.08984375" customWidth="1"/>
    <col min="4888" max="4888" width="3.08984375" customWidth="1"/>
    <col min="4896" max="4896" width="3.08984375" customWidth="1"/>
    <col min="4903" max="4903" width="3.08984375" customWidth="1"/>
    <col min="5117" max="5117" width="14.08984375" customWidth="1"/>
    <col min="5118" max="5118" width="13.90625" customWidth="1"/>
    <col min="5119" max="5119" width="3.08984375" customWidth="1"/>
    <col min="5120" max="5120" width="8.453125" bestFit="1" customWidth="1"/>
    <col min="5121" max="5121" width="8.90625" bestFit="1" customWidth="1"/>
    <col min="5122" max="5122" width="3.08984375" customWidth="1"/>
    <col min="5123" max="5123" width="16.453125" bestFit="1" customWidth="1"/>
    <col min="5124" max="5124" width="14.54296875" customWidth="1"/>
    <col min="5125" max="5125" width="3.08984375" customWidth="1"/>
    <col min="5126" max="5126" width="5.90625" customWidth="1"/>
    <col min="5127" max="5127" width="54.08984375" bestFit="1" customWidth="1"/>
    <col min="5129" max="5129" width="3.08984375" customWidth="1"/>
    <col min="5131" max="5131" width="32" customWidth="1"/>
    <col min="5132" max="5132" width="5.54296875" customWidth="1"/>
    <col min="5133" max="5133" width="3.08984375" customWidth="1"/>
    <col min="5134" max="5134" width="14.08984375" customWidth="1"/>
    <col min="5135" max="5135" width="12.08984375" bestFit="1" customWidth="1"/>
    <col min="5137" max="5138" width="18.90625" customWidth="1"/>
    <col min="5139" max="5139" width="3.08984375" customWidth="1"/>
    <col min="5144" max="5144" width="3.08984375" customWidth="1"/>
    <col min="5152" max="5152" width="3.08984375" customWidth="1"/>
    <col min="5159" max="5159" width="3.08984375" customWidth="1"/>
    <col min="5373" max="5373" width="14.08984375" customWidth="1"/>
    <col min="5374" max="5374" width="13.90625" customWidth="1"/>
    <col min="5375" max="5375" width="3.08984375" customWidth="1"/>
    <col min="5376" max="5376" width="8.453125" bestFit="1" customWidth="1"/>
    <col min="5377" max="5377" width="8.90625" bestFit="1" customWidth="1"/>
    <col min="5378" max="5378" width="3.08984375" customWidth="1"/>
    <col min="5379" max="5379" width="16.453125" bestFit="1" customWidth="1"/>
    <col min="5380" max="5380" width="14.54296875" customWidth="1"/>
    <col min="5381" max="5381" width="3.08984375" customWidth="1"/>
    <col min="5382" max="5382" width="5.90625" customWidth="1"/>
    <col min="5383" max="5383" width="54.08984375" bestFit="1" customWidth="1"/>
    <col min="5385" max="5385" width="3.08984375" customWidth="1"/>
    <col min="5387" max="5387" width="32" customWidth="1"/>
    <col min="5388" max="5388" width="5.54296875" customWidth="1"/>
    <col min="5389" max="5389" width="3.08984375" customWidth="1"/>
    <col min="5390" max="5390" width="14.08984375" customWidth="1"/>
    <col min="5391" max="5391" width="12.08984375" bestFit="1" customWidth="1"/>
    <col min="5393" max="5394" width="18.90625" customWidth="1"/>
    <col min="5395" max="5395" width="3.08984375" customWidth="1"/>
    <col min="5400" max="5400" width="3.08984375" customWidth="1"/>
    <col min="5408" max="5408" width="3.08984375" customWidth="1"/>
    <col min="5415" max="5415" width="3.08984375" customWidth="1"/>
    <col min="5629" max="5629" width="14.08984375" customWidth="1"/>
    <col min="5630" max="5630" width="13.90625" customWidth="1"/>
    <col min="5631" max="5631" width="3.08984375" customWidth="1"/>
    <col min="5632" max="5632" width="8.453125" bestFit="1" customWidth="1"/>
    <col min="5633" max="5633" width="8.90625" bestFit="1" customWidth="1"/>
    <col min="5634" max="5634" width="3.08984375" customWidth="1"/>
    <col min="5635" max="5635" width="16.453125" bestFit="1" customWidth="1"/>
    <col min="5636" max="5636" width="14.54296875" customWidth="1"/>
    <col min="5637" max="5637" width="3.08984375" customWidth="1"/>
    <col min="5638" max="5638" width="5.90625" customWidth="1"/>
    <col min="5639" max="5639" width="54.08984375" bestFit="1" customWidth="1"/>
    <col min="5641" max="5641" width="3.08984375" customWidth="1"/>
    <col min="5643" max="5643" width="32" customWidth="1"/>
    <col min="5644" max="5644" width="5.54296875" customWidth="1"/>
    <col min="5645" max="5645" width="3.08984375" customWidth="1"/>
    <col min="5646" max="5646" width="14.08984375" customWidth="1"/>
    <col min="5647" max="5647" width="12.08984375" bestFit="1" customWidth="1"/>
    <col min="5649" max="5650" width="18.90625" customWidth="1"/>
    <col min="5651" max="5651" width="3.08984375" customWidth="1"/>
    <col min="5656" max="5656" width="3.08984375" customWidth="1"/>
    <col min="5664" max="5664" width="3.08984375" customWidth="1"/>
    <col min="5671" max="5671" width="3.08984375" customWidth="1"/>
    <col min="5885" max="5885" width="14.08984375" customWidth="1"/>
    <col min="5886" max="5886" width="13.90625" customWidth="1"/>
    <col min="5887" max="5887" width="3.08984375" customWidth="1"/>
    <col min="5888" max="5888" width="8.453125" bestFit="1" customWidth="1"/>
    <col min="5889" max="5889" width="8.90625" bestFit="1" customWidth="1"/>
    <col min="5890" max="5890" width="3.08984375" customWidth="1"/>
    <col min="5891" max="5891" width="16.453125" bestFit="1" customWidth="1"/>
    <col min="5892" max="5892" width="14.54296875" customWidth="1"/>
    <col min="5893" max="5893" width="3.08984375" customWidth="1"/>
    <col min="5894" max="5894" width="5.90625" customWidth="1"/>
    <col min="5895" max="5895" width="54.08984375" bestFit="1" customWidth="1"/>
    <col min="5897" max="5897" width="3.08984375" customWidth="1"/>
    <col min="5899" max="5899" width="32" customWidth="1"/>
    <col min="5900" max="5900" width="5.54296875" customWidth="1"/>
    <col min="5901" max="5901" width="3.08984375" customWidth="1"/>
    <col min="5902" max="5902" width="14.08984375" customWidth="1"/>
    <col min="5903" max="5903" width="12.08984375" bestFit="1" customWidth="1"/>
    <col min="5905" max="5906" width="18.90625" customWidth="1"/>
    <col min="5907" max="5907" width="3.08984375" customWidth="1"/>
    <col min="5912" max="5912" width="3.08984375" customWidth="1"/>
    <col min="5920" max="5920" width="3.08984375" customWidth="1"/>
    <col min="5927" max="5927" width="3.08984375" customWidth="1"/>
    <col min="6141" max="6141" width="14.08984375" customWidth="1"/>
    <col min="6142" max="6142" width="13.90625" customWidth="1"/>
    <col min="6143" max="6143" width="3.08984375" customWidth="1"/>
    <col min="6144" max="6144" width="8.453125" bestFit="1" customWidth="1"/>
    <col min="6145" max="6145" width="8.90625" bestFit="1" customWidth="1"/>
    <col min="6146" max="6146" width="3.08984375" customWidth="1"/>
    <col min="6147" max="6147" width="16.453125" bestFit="1" customWidth="1"/>
    <col min="6148" max="6148" width="14.54296875" customWidth="1"/>
    <col min="6149" max="6149" width="3.08984375" customWidth="1"/>
    <col min="6150" max="6150" width="5.90625" customWidth="1"/>
    <col min="6151" max="6151" width="54.08984375" bestFit="1" customWidth="1"/>
    <col min="6153" max="6153" width="3.08984375" customWidth="1"/>
    <col min="6155" max="6155" width="32" customWidth="1"/>
    <col min="6156" max="6156" width="5.54296875" customWidth="1"/>
    <col min="6157" max="6157" width="3.08984375" customWidth="1"/>
    <col min="6158" max="6158" width="14.08984375" customWidth="1"/>
    <col min="6159" max="6159" width="12.08984375" bestFit="1" customWidth="1"/>
    <col min="6161" max="6162" width="18.90625" customWidth="1"/>
    <col min="6163" max="6163" width="3.08984375" customWidth="1"/>
    <col min="6168" max="6168" width="3.08984375" customWidth="1"/>
    <col min="6176" max="6176" width="3.08984375" customWidth="1"/>
    <col min="6183" max="6183" width="3.08984375" customWidth="1"/>
    <col min="6397" max="6397" width="14.08984375" customWidth="1"/>
    <col min="6398" max="6398" width="13.90625" customWidth="1"/>
    <col min="6399" max="6399" width="3.08984375" customWidth="1"/>
    <col min="6400" max="6400" width="8.453125" bestFit="1" customWidth="1"/>
    <col min="6401" max="6401" width="8.90625" bestFit="1" customWidth="1"/>
    <col min="6402" max="6402" width="3.08984375" customWidth="1"/>
    <col min="6403" max="6403" width="16.453125" bestFit="1" customWidth="1"/>
    <col min="6404" max="6404" width="14.54296875" customWidth="1"/>
    <col min="6405" max="6405" width="3.08984375" customWidth="1"/>
    <col min="6406" max="6406" width="5.90625" customWidth="1"/>
    <col min="6407" max="6407" width="54.08984375" bestFit="1" customWidth="1"/>
    <col min="6409" max="6409" width="3.08984375" customWidth="1"/>
    <col min="6411" max="6411" width="32" customWidth="1"/>
    <col min="6412" max="6412" width="5.54296875" customWidth="1"/>
    <col min="6413" max="6413" width="3.08984375" customWidth="1"/>
    <col min="6414" max="6414" width="14.08984375" customWidth="1"/>
    <col min="6415" max="6415" width="12.08984375" bestFit="1" customWidth="1"/>
    <col min="6417" max="6418" width="18.90625" customWidth="1"/>
    <col min="6419" max="6419" width="3.08984375" customWidth="1"/>
    <col min="6424" max="6424" width="3.08984375" customWidth="1"/>
    <col min="6432" max="6432" width="3.08984375" customWidth="1"/>
    <col min="6439" max="6439" width="3.08984375" customWidth="1"/>
    <col min="6653" max="6653" width="14.08984375" customWidth="1"/>
    <col min="6654" max="6654" width="13.90625" customWidth="1"/>
    <col min="6655" max="6655" width="3.08984375" customWidth="1"/>
    <col min="6656" max="6656" width="8.453125" bestFit="1" customWidth="1"/>
    <col min="6657" max="6657" width="8.90625" bestFit="1" customWidth="1"/>
    <col min="6658" max="6658" width="3.08984375" customWidth="1"/>
    <col min="6659" max="6659" width="16.453125" bestFit="1" customWidth="1"/>
    <col min="6660" max="6660" width="14.54296875" customWidth="1"/>
    <col min="6661" max="6661" width="3.08984375" customWidth="1"/>
    <col min="6662" max="6662" width="5.90625" customWidth="1"/>
    <col min="6663" max="6663" width="54.08984375" bestFit="1" customWidth="1"/>
    <col min="6665" max="6665" width="3.08984375" customWidth="1"/>
    <col min="6667" max="6667" width="32" customWidth="1"/>
    <col min="6668" max="6668" width="5.54296875" customWidth="1"/>
    <col min="6669" max="6669" width="3.08984375" customWidth="1"/>
    <col min="6670" max="6670" width="14.08984375" customWidth="1"/>
    <col min="6671" max="6671" width="12.08984375" bestFit="1" customWidth="1"/>
    <col min="6673" max="6674" width="18.90625" customWidth="1"/>
    <col min="6675" max="6675" width="3.08984375" customWidth="1"/>
    <col min="6680" max="6680" width="3.08984375" customWidth="1"/>
    <col min="6688" max="6688" width="3.08984375" customWidth="1"/>
    <col min="6695" max="6695" width="3.08984375" customWidth="1"/>
    <col min="6909" max="6909" width="14.08984375" customWidth="1"/>
    <col min="6910" max="6910" width="13.90625" customWidth="1"/>
    <col min="6911" max="6911" width="3.08984375" customWidth="1"/>
    <col min="6912" max="6912" width="8.453125" bestFit="1" customWidth="1"/>
    <col min="6913" max="6913" width="8.90625" bestFit="1" customWidth="1"/>
    <col min="6914" max="6914" width="3.08984375" customWidth="1"/>
    <col min="6915" max="6915" width="16.453125" bestFit="1" customWidth="1"/>
    <col min="6916" max="6916" width="14.54296875" customWidth="1"/>
    <col min="6917" max="6917" width="3.08984375" customWidth="1"/>
    <col min="6918" max="6918" width="5.90625" customWidth="1"/>
    <col min="6919" max="6919" width="54.08984375" bestFit="1" customWidth="1"/>
    <col min="6921" max="6921" width="3.08984375" customWidth="1"/>
    <col min="6923" max="6923" width="32" customWidth="1"/>
    <col min="6924" max="6924" width="5.54296875" customWidth="1"/>
    <col min="6925" max="6925" width="3.08984375" customWidth="1"/>
    <col min="6926" max="6926" width="14.08984375" customWidth="1"/>
    <col min="6927" max="6927" width="12.08984375" bestFit="1" customWidth="1"/>
    <col min="6929" max="6930" width="18.90625" customWidth="1"/>
    <col min="6931" max="6931" width="3.08984375" customWidth="1"/>
    <col min="6936" max="6936" width="3.08984375" customWidth="1"/>
    <col min="6944" max="6944" width="3.08984375" customWidth="1"/>
    <col min="6951" max="6951" width="3.08984375" customWidth="1"/>
    <col min="7165" max="7165" width="14.08984375" customWidth="1"/>
    <col min="7166" max="7166" width="13.90625" customWidth="1"/>
    <col min="7167" max="7167" width="3.08984375" customWidth="1"/>
    <col min="7168" max="7168" width="8.453125" bestFit="1" customWidth="1"/>
    <col min="7169" max="7169" width="8.90625" bestFit="1" customWidth="1"/>
    <col min="7170" max="7170" width="3.08984375" customWidth="1"/>
    <col min="7171" max="7171" width="16.453125" bestFit="1" customWidth="1"/>
    <col min="7172" max="7172" width="14.54296875" customWidth="1"/>
    <col min="7173" max="7173" width="3.08984375" customWidth="1"/>
    <col min="7174" max="7174" width="5.90625" customWidth="1"/>
    <col min="7175" max="7175" width="54.08984375" bestFit="1" customWidth="1"/>
    <col min="7177" max="7177" width="3.08984375" customWidth="1"/>
    <col min="7179" max="7179" width="32" customWidth="1"/>
    <col min="7180" max="7180" width="5.54296875" customWidth="1"/>
    <col min="7181" max="7181" width="3.08984375" customWidth="1"/>
    <col min="7182" max="7182" width="14.08984375" customWidth="1"/>
    <col min="7183" max="7183" width="12.08984375" bestFit="1" customWidth="1"/>
    <col min="7185" max="7186" width="18.90625" customWidth="1"/>
    <col min="7187" max="7187" width="3.08984375" customWidth="1"/>
    <col min="7192" max="7192" width="3.08984375" customWidth="1"/>
    <col min="7200" max="7200" width="3.08984375" customWidth="1"/>
    <col min="7207" max="7207" width="3.08984375" customWidth="1"/>
    <col min="7421" max="7421" width="14.08984375" customWidth="1"/>
    <col min="7422" max="7422" width="13.90625" customWidth="1"/>
    <col min="7423" max="7423" width="3.08984375" customWidth="1"/>
    <col min="7424" max="7424" width="8.453125" bestFit="1" customWidth="1"/>
    <col min="7425" max="7425" width="8.90625" bestFit="1" customWidth="1"/>
    <col min="7426" max="7426" width="3.08984375" customWidth="1"/>
    <col min="7427" max="7427" width="16.453125" bestFit="1" customWidth="1"/>
    <col min="7428" max="7428" width="14.54296875" customWidth="1"/>
    <col min="7429" max="7429" width="3.08984375" customWidth="1"/>
    <col min="7430" max="7430" width="5.90625" customWidth="1"/>
    <col min="7431" max="7431" width="54.08984375" bestFit="1" customWidth="1"/>
    <col min="7433" max="7433" width="3.08984375" customWidth="1"/>
    <col min="7435" max="7435" width="32" customWidth="1"/>
    <col min="7436" max="7436" width="5.54296875" customWidth="1"/>
    <col min="7437" max="7437" width="3.08984375" customWidth="1"/>
    <col min="7438" max="7438" width="14.08984375" customWidth="1"/>
    <col min="7439" max="7439" width="12.08984375" bestFit="1" customWidth="1"/>
    <col min="7441" max="7442" width="18.90625" customWidth="1"/>
    <col min="7443" max="7443" width="3.08984375" customWidth="1"/>
    <col min="7448" max="7448" width="3.08984375" customWidth="1"/>
    <col min="7456" max="7456" width="3.08984375" customWidth="1"/>
    <col min="7463" max="7463" width="3.08984375" customWidth="1"/>
    <col min="7677" max="7677" width="14.08984375" customWidth="1"/>
    <col min="7678" max="7678" width="13.90625" customWidth="1"/>
    <col min="7679" max="7679" width="3.08984375" customWidth="1"/>
    <col min="7680" max="7680" width="8.453125" bestFit="1" customWidth="1"/>
    <col min="7681" max="7681" width="8.90625" bestFit="1" customWidth="1"/>
    <col min="7682" max="7682" width="3.08984375" customWidth="1"/>
    <col min="7683" max="7683" width="16.453125" bestFit="1" customWidth="1"/>
    <col min="7684" max="7684" width="14.54296875" customWidth="1"/>
    <col min="7685" max="7685" width="3.08984375" customWidth="1"/>
    <col min="7686" max="7686" width="5.90625" customWidth="1"/>
    <col min="7687" max="7687" width="54.08984375" bestFit="1" customWidth="1"/>
    <col min="7689" max="7689" width="3.08984375" customWidth="1"/>
    <col min="7691" max="7691" width="32" customWidth="1"/>
    <col min="7692" max="7692" width="5.54296875" customWidth="1"/>
    <col min="7693" max="7693" width="3.08984375" customWidth="1"/>
    <col min="7694" max="7694" width="14.08984375" customWidth="1"/>
    <col min="7695" max="7695" width="12.08984375" bestFit="1" customWidth="1"/>
    <col min="7697" max="7698" width="18.90625" customWidth="1"/>
    <col min="7699" max="7699" width="3.08984375" customWidth="1"/>
    <col min="7704" max="7704" width="3.08984375" customWidth="1"/>
    <col min="7712" max="7712" width="3.08984375" customWidth="1"/>
    <col min="7719" max="7719" width="3.08984375" customWidth="1"/>
    <col min="7933" max="7933" width="14.08984375" customWidth="1"/>
    <col min="7934" max="7934" width="13.90625" customWidth="1"/>
    <col min="7935" max="7935" width="3.08984375" customWidth="1"/>
    <col min="7936" max="7936" width="8.453125" bestFit="1" customWidth="1"/>
    <col min="7937" max="7937" width="8.90625" bestFit="1" customWidth="1"/>
    <col min="7938" max="7938" width="3.08984375" customWidth="1"/>
    <col min="7939" max="7939" width="16.453125" bestFit="1" customWidth="1"/>
    <col min="7940" max="7940" width="14.54296875" customWidth="1"/>
    <col min="7941" max="7941" width="3.08984375" customWidth="1"/>
    <col min="7942" max="7942" width="5.90625" customWidth="1"/>
    <col min="7943" max="7943" width="54.08984375" bestFit="1" customWidth="1"/>
    <col min="7945" max="7945" width="3.08984375" customWidth="1"/>
    <col min="7947" max="7947" width="32" customWidth="1"/>
    <col min="7948" max="7948" width="5.54296875" customWidth="1"/>
    <col min="7949" max="7949" width="3.08984375" customWidth="1"/>
    <col min="7950" max="7950" width="14.08984375" customWidth="1"/>
    <col min="7951" max="7951" width="12.08984375" bestFit="1" customWidth="1"/>
    <col min="7953" max="7954" width="18.90625" customWidth="1"/>
    <col min="7955" max="7955" width="3.08984375" customWidth="1"/>
    <col min="7960" max="7960" width="3.08984375" customWidth="1"/>
    <col min="7968" max="7968" width="3.08984375" customWidth="1"/>
    <col min="7975" max="7975" width="3.08984375" customWidth="1"/>
    <col min="8189" max="8189" width="14.08984375" customWidth="1"/>
    <col min="8190" max="8190" width="13.90625" customWidth="1"/>
    <col min="8191" max="8191" width="3.08984375" customWidth="1"/>
    <col min="8192" max="8192" width="8.453125" bestFit="1" customWidth="1"/>
    <col min="8193" max="8193" width="8.90625" bestFit="1" customWidth="1"/>
    <col min="8194" max="8194" width="3.08984375" customWidth="1"/>
    <col min="8195" max="8195" width="16.453125" bestFit="1" customWidth="1"/>
    <col min="8196" max="8196" width="14.54296875" customWidth="1"/>
    <col min="8197" max="8197" width="3.08984375" customWidth="1"/>
    <col min="8198" max="8198" width="5.90625" customWidth="1"/>
    <col min="8199" max="8199" width="54.08984375" bestFit="1" customWidth="1"/>
    <col min="8201" max="8201" width="3.08984375" customWidth="1"/>
    <col min="8203" max="8203" width="32" customWidth="1"/>
    <col min="8204" max="8204" width="5.54296875" customWidth="1"/>
    <col min="8205" max="8205" width="3.08984375" customWidth="1"/>
    <col min="8206" max="8206" width="14.08984375" customWidth="1"/>
    <col min="8207" max="8207" width="12.08984375" bestFit="1" customWidth="1"/>
    <col min="8209" max="8210" width="18.90625" customWidth="1"/>
    <col min="8211" max="8211" width="3.08984375" customWidth="1"/>
    <col min="8216" max="8216" width="3.08984375" customWidth="1"/>
    <col min="8224" max="8224" width="3.08984375" customWidth="1"/>
    <col min="8231" max="8231" width="3.08984375" customWidth="1"/>
    <col min="8445" max="8445" width="14.08984375" customWidth="1"/>
    <col min="8446" max="8446" width="13.90625" customWidth="1"/>
    <col min="8447" max="8447" width="3.08984375" customWidth="1"/>
    <col min="8448" max="8448" width="8.453125" bestFit="1" customWidth="1"/>
    <col min="8449" max="8449" width="8.90625" bestFit="1" customWidth="1"/>
    <col min="8450" max="8450" width="3.08984375" customWidth="1"/>
    <col min="8451" max="8451" width="16.453125" bestFit="1" customWidth="1"/>
    <col min="8452" max="8452" width="14.54296875" customWidth="1"/>
    <col min="8453" max="8453" width="3.08984375" customWidth="1"/>
    <col min="8454" max="8454" width="5.90625" customWidth="1"/>
    <col min="8455" max="8455" width="54.08984375" bestFit="1" customWidth="1"/>
    <col min="8457" max="8457" width="3.08984375" customWidth="1"/>
    <col min="8459" max="8459" width="32" customWidth="1"/>
    <col min="8460" max="8460" width="5.54296875" customWidth="1"/>
    <col min="8461" max="8461" width="3.08984375" customWidth="1"/>
    <col min="8462" max="8462" width="14.08984375" customWidth="1"/>
    <col min="8463" max="8463" width="12.08984375" bestFit="1" customWidth="1"/>
    <col min="8465" max="8466" width="18.90625" customWidth="1"/>
    <col min="8467" max="8467" width="3.08984375" customWidth="1"/>
    <col min="8472" max="8472" width="3.08984375" customWidth="1"/>
    <col min="8480" max="8480" width="3.08984375" customWidth="1"/>
    <col min="8487" max="8487" width="3.08984375" customWidth="1"/>
    <col min="8701" max="8701" width="14.08984375" customWidth="1"/>
    <col min="8702" max="8702" width="13.90625" customWidth="1"/>
    <col min="8703" max="8703" width="3.08984375" customWidth="1"/>
    <col min="8704" max="8704" width="8.453125" bestFit="1" customWidth="1"/>
    <col min="8705" max="8705" width="8.90625" bestFit="1" customWidth="1"/>
    <col min="8706" max="8706" width="3.08984375" customWidth="1"/>
    <col min="8707" max="8707" width="16.453125" bestFit="1" customWidth="1"/>
    <col min="8708" max="8708" width="14.54296875" customWidth="1"/>
    <col min="8709" max="8709" width="3.08984375" customWidth="1"/>
    <col min="8710" max="8710" width="5.90625" customWidth="1"/>
    <col min="8711" max="8711" width="54.08984375" bestFit="1" customWidth="1"/>
    <col min="8713" max="8713" width="3.08984375" customWidth="1"/>
    <col min="8715" max="8715" width="32" customWidth="1"/>
    <col min="8716" max="8716" width="5.54296875" customWidth="1"/>
    <col min="8717" max="8717" width="3.08984375" customWidth="1"/>
    <col min="8718" max="8718" width="14.08984375" customWidth="1"/>
    <col min="8719" max="8719" width="12.08984375" bestFit="1" customWidth="1"/>
    <col min="8721" max="8722" width="18.90625" customWidth="1"/>
    <col min="8723" max="8723" width="3.08984375" customWidth="1"/>
    <col min="8728" max="8728" width="3.08984375" customWidth="1"/>
    <col min="8736" max="8736" width="3.08984375" customWidth="1"/>
    <col min="8743" max="8743" width="3.08984375" customWidth="1"/>
    <col min="8957" max="8957" width="14.08984375" customWidth="1"/>
    <col min="8958" max="8958" width="13.90625" customWidth="1"/>
    <col min="8959" max="8959" width="3.08984375" customWidth="1"/>
    <col min="8960" max="8960" width="8.453125" bestFit="1" customWidth="1"/>
    <col min="8961" max="8961" width="8.90625" bestFit="1" customWidth="1"/>
    <col min="8962" max="8962" width="3.08984375" customWidth="1"/>
    <col min="8963" max="8963" width="16.453125" bestFit="1" customWidth="1"/>
    <col min="8964" max="8964" width="14.54296875" customWidth="1"/>
    <col min="8965" max="8965" width="3.08984375" customWidth="1"/>
    <col min="8966" max="8966" width="5.90625" customWidth="1"/>
    <col min="8967" max="8967" width="54.08984375" bestFit="1" customWidth="1"/>
    <col min="8969" max="8969" width="3.08984375" customWidth="1"/>
    <col min="8971" max="8971" width="32" customWidth="1"/>
    <col min="8972" max="8972" width="5.54296875" customWidth="1"/>
    <col min="8973" max="8973" width="3.08984375" customWidth="1"/>
    <col min="8974" max="8974" width="14.08984375" customWidth="1"/>
    <col min="8975" max="8975" width="12.08984375" bestFit="1" customWidth="1"/>
    <col min="8977" max="8978" width="18.90625" customWidth="1"/>
    <col min="8979" max="8979" width="3.08984375" customWidth="1"/>
    <col min="8984" max="8984" width="3.08984375" customWidth="1"/>
    <col min="8992" max="8992" width="3.08984375" customWidth="1"/>
    <col min="8999" max="8999" width="3.08984375" customWidth="1"/>
    <col min="9213" max="9213" width="14.08984375" customWidth="1"/>
    <col min="9214" max="9214" width="13.90625" customWidth="1"/>
    <col min="9215" max="9215" width="3.08984375" customWidth="1"/>
    <col min="9216" max="9216" width="8.453125" bestFit="1" customWidth="1"/>
    <col min="9217" max="9217" width="8.90625" bestFit="1" customWidth="1"/>
    <col min="9218" max="9218" width="3.08984375" customWidth="1"/>
    <col min="9219" max="9219" width="16.453125" bestFit="1" customWidth="1"/>
    <col min="9220" max="9220" width="14.54296875" customWidth="1"/>
    <col min="9221" max="9221" width="3.08984375" customWidth="1"/>
    <col min="9222" max="9222" width="5.90625" customWidth="1"/>
    <col min="9223" max="9223" width="54.08984375" bestFit="1" customWidth="1"/>
    <col min="9225" max="9225" width="3.08984375" customWidth="1"/>
    <col min="9227" max="9227" width="32" customWidth="1"/>
    <col min="9228" max="9228" width="5.54296875" customWidth="1"/>
    <col min="9229" max="9229" width="3.08984375" customWidth="1"/>
    <col min="9230" max="9230" width="14.08984375" customWidth="1"/>
    <col min="9231" max="9231" width="12.08984375" bestFit="1" customWidth="1"/>
    <col min="9233" max="9234" width="18.90625" customWidth="1"/>
    <col min="9235" max="9235" width="3.08984375" customWidth="1"/>
    <col min="9240" max="9240" width="3.08984375" customWidth="1"/>
    <col min="9248" max="9248" width="3.08984375" customWidth="1"/>
    <col min="9255" max="9255" width="3.08984375" customWidth="1"/>
    <col min="9469" max="9469" width="14.08984375" customWidth="1"/>
    <col min="9470" max="9470" width="13.90625" customWidth="1"/>
    <col min="9471" max="9471" width="3.08984375" customWidth="1"/>
    <col min="9472" max="9472" width="8.453125" bestFit="1" customWidth="1"/>
    <col min="9473" max="9473" width="8.90625" bestFit="1" customWidth="1"/>
    <col min="9474" max="9474" width="3.08984375" customWidth="1"/>
    <col min="9475" max="9475" width="16.453125" bestFit="1" customWidth="1"/>
    <col min="9476" max="9476" width="14.54296875" customWidth="1"/>
    <col min="9477" max="9477" width="3.08984375" customWidth="1"/>
    <col min="9478" max="9478" width="5.90625" customWidth="1"/>
    <col min="9479" max="9479" width="54.08984375" bestFit="1" customWidth="1"/>
    <col min="9481" max="9481" width="3.08984375" customWidth="1"/>
    <col min="9483" max="9483" width="32" customWidth="1"/>
    <col min="9484" max="9484" width="5.54296875" customWidth="1"/>
    <col min="9485" max="9485" width="3.08984375" customWidth="1"/>
    <col min="9486" max="9486" width="14.08984375" customWidth="1"/>
    <col min="9487" max="9487" width="12.08984375" bestFit="1" customWidth="1"/>
    <col min="9489" max="9490" width="18.90625" customWidth="1"/>
    <col min="9491" max="9491" width="3.08984375" customWidth="1"/>
    <col min="9496" max="9496" width="3.08984375" customWidth="1"/>
    <col min="9504" max="9504" width="3.08984375" customWidth="1"/>
    <col min="9511" max="9511" width="3.08984375" customWidth="1"/>
    <col min="9725" max="9725" width="14.08984375" customWidth="1"/>
    <col min="9726" max="9726" width="13.90625" customWidth="1"/>
    <col min="9727" max="9727" width="3.08984375" customWidth="1"/>
    <col min="9728" max="9728" width="8.453125" bestFit="1" customWidth="1"/>
    <col min="9729" max="9729" width="8.90625" bestFit="1" customWidth="1"/>
    <col min="9730" max="9730" width="3.08984375" customWidth="1"/>
    <col min="9731" max="9731" width="16.453125" bestFit="1" customWidth="1"/>
    <col min="9732" max="9732" width="14.54296875" customWidth="1"/>
    <col min="9733" max="9733" width="3.08984375" customWidth="1"/>
    <col min="9734" max="9734" width="5.90625" customWidth="1"/>
    <col min="9735" max="9735" width="54.08984375" bestFit="1" customWidth="1"/>
    <col min="9737" max="9737" width="3.08984375" customWidth="1"/>
    <col min="9739" max="9739" width="32" customWidth="1"/>
    <col min="9740" max="9740" width="5.54296875" customWidth="1"/>
    <col min="9741" max="9741" width="3.08984375" customWidth="1"/>
    <col min="9742" max="9742" width="14.08984375" customWidth="1"/>
    <col min="9743" max="9743" width="12.08984375" bestFit="1" customWidth="1"/>
    <col min="9745" max="9746" width="18.90625" customWidth="1"/>
    <col min="9747" max="9747" width="3.08984375" customWidth="1"/>
    <col min="9752" max="9752" width="3.08984375" customWidth="1"/>
    <col min="9760" max="9760" width="3.08984375" customWidth="1"/>
    <col min="9767" max="9767" width="3.08984375" customWidth="1"/>
    <col min="9981" max="9981" width="14.08984375" customWidth="1"/>
    <col min="9982" max="9982" width="13.90625" customWidth="1"/>
    <col min="9983" max="9983" width="3.08984375" customWidth="1"/>
    <col min="9984" max="9984" width="8.453125" bestFit="1" customWidth="1"/>
    <col min="9985" max="9985" width="8.90625" bestFit="1" customWidth="1"/>
    <col min="9986" max="9986" width="3.08984375" customWidth="1"/>
    <col min="9987" max="9987" width="16.453125" bestFit="1" customWidth="1"/>
    <col min="9988" max="9988" width="14.54296875" customWidth="1"/>
    <col min="9989" max="9989" width="3.08984375" customWidth="1"/>
    <col min="9990" max="9990" width="5.90625" customWidth="1"/>
    <col min="9991" max="9991" width="54.08984375" bestFit="1" customWidth="1"/>
    <col min="9993" max="9993" width="3.08984375" customWidth="1"/>
    <col min="9995" max="9995" width="32" customWidth="1"/>
    <col min="9996" max="9996" width="5.54296875" customWidth="1"/>
    <col min="9997" max="9997" width="3.08984375" customWidth="1"/>
    <col min="9998" max="9998" width="14.08984375" customWidth="1"/>
    <col min="9999" max="9999" width="12.08984375" bestFit="1" customWidth="1"/>
    <col min="10001" max="10002" width="18.90625" customWidth="1"/>
    <col min="10003" max="10003" width="3.08984375" customWidth="1"/>
    <col min="10008" max="10008" width="3.08984375" customWidth="1"/>
    <col min="10016" max="10016" width="3.08984375" customWidth="1"/>
    <col min="10023" max="10023" width="3.08984375" customWidth="1"/>
    <col min="10237" max="10237" width="14.08984375" customWidth="1"/>
    <col min="10238" max="10238" width="13.90625" customWidth="1"/>
    <col min="10239" max="10239" width="3.08984375" customWidth="1"/>
    <col min="10240" max="10240" width="8.453125" bestFit="1" customWidth="1"/>
    <col min="10241" max="10241" width="8.90625" bestFit="1" customWidth="1"/>
    <col min="10242" max="10242" width="3.08984375" customWidth="1"/>
    <col min="10243" max="10243" width="16.453125" bestFit="1" customWidth="1"/>
    <col min="10244" max="10244" width="14.54296875" customWidth="1"/>
    <col min="10245" max="10245" width="3.08984375" customWidth="1"/>
    <col min="10246" max="10246" width="5.90625" customWidth="1"/>
    <col min="10247" max="10247" width="54.08984375" bestFit="1" customWidth="1"/>
    <col min="10249" max="10249" width="3.08984375" customWidth="1"/>
    <col min="10251" max="10251" width="32" customWidth="1"/>
    <col min="10252" max="10252" width="5.54296875" customWidth="1"/>
    <col min="10253" max="10253" width="3.08984375" customWidth="1"/>
    <col min="10254" max="10254" width="14.08984375" customWidth="1"/>
    <col min="10255" max="10255" width="12.08984375" bestFit="1" customWidth="1"/>
    <col min="10257" max="10258" width="18.90625" customWidth="1"/>
    <col min="10259" max="10259" width="3.08984375" customWidth="1"/>
    <col min="10264" max="10264" width="3.08984375" customWidth="1"/>
    <col min="10272" max="10272" width="3.08984375" customWidth="1"/>
    <col min="10279" max="10279" width="3.08984375" customWidth="1"/>
    <col min="10493" max="10493" width="14.08984375" customWidth="1"/>
    <col min="10494" max="10494" width="13.90625" customWidth="1"/>
    <col min="10495" max="10495" width="3.08984375" customWidth="1"/>
    <col min="10496" max="10496" width="8.453125" bestFit="1" customWidth="1"/>
    <col min="10497" max="10497" width="8.90625" bestFit="1" customWidth="1"/>
    <col min="10498" max="10498" width="3.08984375" customWidth="1"/>
    <col min="10499" max="10499" width="16.453125" bestFit="1" customWidth="1"/>
    <col min="10500" max="10500" width="14.54296875" customWidth="1"/>
    <col min="10501" max="10501" width="3.08984375" customWidth="1"/>
    <col min="10502" max="10502" width="5.90625" customWidth="1"/>
    <col min="10503" max="10503" width="54.08984375" bestFit="1" customWidth="1"/>
    <col min="10505" max="10505" width="3.08984375" customWidth="1"/>
    <col min="10507" max="10507" width="32" customWidth="1"/>
    <col min="10508" max="10508" width="5.54296875" customWidth="1"/>
    <col min="10509" max="10509" width="3.08984375" customWidth="1"/>
    <col min="10510" max="10510" width="14.08984375" customWidth="1"/>
    <col min="10511" max="10511" width="12.08984375" bestFit="1" customWidth="1"/>
    <col min="10513" max="10514" width="18.90625" customWidth="1"/>
    <col min="10515" max="10515" width="3.08984375" customWidth="1"/>
    <col min="10520" max="10520" width="3.08984375" customWidth="1"/>
    <col min="10528" max="10528" width="3.08984375" customWidth="1"/>
    <col min="10535" max="10535" width="3.08984375" customWidth="1"/>
    <col min="10749" max="10749" width="14.08984375" customWidth="1"/>
    <col min="10750" max="10750" width="13.90625" customWidth="1"/>
    <col min="10751" max="10751" width="3.08984375" customWidth="1"/>
    <col min="10752" max="10752" width="8.453125" bestFit="1" customWidth="1"/>
    <col min="10753" max="10753" width="8.90625" bestFit="1" customWidth="1"/>
    <col min="10754" max="10754" width="3.08984375" customWidth="1"/>
    <col min="10755" max="10755" width="16.453125" bestFit="1" customWidth="1"/>
    <col min="10756" max="10756" width="14.54296875" customWidth="1"/>
    <col min="10757" max="10757" width="3.08984375" customWidth="1"/>
    <col min="10758" max="10758" width="5.90625" customWidth="1"/>
    <col min="10759" max="10759" width="54.08984375" bestFit="1" customWidth="1"/>
    <col min="10761" max="10761" width="3.08984375" customWidth="1"/>
    <col min="10763" max="10763" width="32" customWidth="1"/>
    <col min="10764" max="10764" width="5.54296875" customWidth="1"/>
    <col min="10765" max="10765" width="3.08984375" customWidth="1"/>
    <col min="10766" max="10766" width="14.08984375" customWidth="1"/>
    <col min="10767" max="10767" width="12.08984375" bestFit="1" customWidth="1"/>
    <col min="10769" max="10770" width="18.90625" customWidth="1"/>
    <col min="10771" max="10771" width="3.08984375" customWidth="1"/>
    <col min="10776" max="10776" width="3.08984375" customWidth="1"/>
    <col min="10784" max="10784" width="3.08984375" customWidth="1"/>
    <col min="10791" max="10791" width="3.08984375" customWidth="1"/>
    <col min="11005" max="11005" width="14.08984375" customWidth="1"/>
    <col min="11006" max="11006" width="13.90625" customWidth="1"/>
    <col min="11007" max="11007" width="3.08984375" customWidth="1"/>
    <col min="11008" max="11008" width="8.453125" bestFit="1" customWidth="1"/>
    <col min="11009" max="11009" width="8.90625" bestFit="1" customWidth="1"/>
    <col min="11010" max="11010" width="3.08984375" customWidth="1"/>
    <col min="11011" max="11011" width="16.453125" bestFit="1" customWidth="1"/>
    <col min="11012" max="11012" width="14.54296875" customWidth="1"/>
    <col min="11013" max="11013" width="3.08984375" customWidth="1"/>
    <col min="11014" max="11014" width="5.90625" customWidth="1"/>
    <col min="11015" max="11015" width="54.08984375" bestFit="1" customWidth="1"/>
    <col min="11017" max="11017" width="3.08984375" customWidth="1"/>
    <col min="11019" max="11019" width="32" customWidth="1"/>
    <col min="11020" max="11020" width="5.54296875" customWidth="1"/>
    <col min="11021" max="11021" width="3.08984375" customWidth="1"/>
    <col min="11022" max="11022" width="14.08984375" customWidth="1"/>
    <col min="11023" max="11023" width="12.08984375" bestFit="1" customWidth="1"/>
    <col min="11025" max="11026" width="18.90625" customWidth="1"/>
    <col min="11027" max="11027" width="3.08984375" customWidth="1"/>
    <col min="11032" max="11032" width="3.08984375" customWidth="1"/>
    <col min="11040" max="11040" width="3.08984375" customWidth="1"/>
    <col min="11047" max="11047" width="3.08984375" customWidth="1"/>
    <col min="11261" max="11261" width="14.08984375" customWidth="1"/>
    <col min="11262" max="11262" width="13.90625" customWidth="1"/>
    <col min="11263" max="11263" width="3.08984375" customWidth="1"/>
    <col min="11264" max="11264" width="8.453125" bestFit="1" customWidth="1"/>
    <col min="11265" max="11265" width="8.90625" bestFit="1" customWidth="1"/>
    <col min="11266" max="11266" width="3.08984375" customWidth="1"/>
    <col min="11267" max="11267" width="16.453125" bestFit="1" customWidth="1"/>
    <col min="11268" max="11268" width="14.54296875" customWidth="1"/>
    <col min="11269" max="11269" width="3.08984375" customWidth="1"/>
    <col min="11270" max="11270" width="5.90625" customWidth="1"/>
    <col min="11271" max="11271" width="54.08984375" bestFit="1" customWidth="1"/>
    <col min="11273" max="11273" width="3.08984375" customWidth="1"/>
    <col min="11275" max="11275" width="32" customWidth="1"/>
    <col min="11276" max="11276" width="5.54296875" customWidth="1"/>
    <col min="11277" max="11277" width="3.08984375" customWidth="1"/>
    <col min="11278" max="11278" width="14.08984375" customWidth="1"/>
    <col min="11279" max="11279" width="12.08984375" bestFit="1" customWidth="1"/>
    <col min="11281" max="11282" width="18.90625" customWidth="1"/>
    <col min="11283" max="11283" width="3.08984375" customWidth="1"/>
    <col min="11288" max="11288" width="3.08984375" customWidth="1"/>
    <col min="11296" max="11296" width="3.08984375" customWidth="1"/>
    <col min="11303" max="11303" width="3.08984375" customWidth="1"/>
    <col min="11517" max="11517" width="14.08984375" customWidth="1"/>
    <col min="11518" max="11518" width="13.90625" customWidth="1"/>
    <col min="11519" max="11519" width="3.08984375" customWidth="1"/>
    <col min="11520" max="11520" width="8.453125" bestFit="1" customWidth="1"/>
    <col min="11521" max="11521" width="8.90625" bestFit="1" customWidth="1"/>
    <col min="11522" max="11522" width="3.08984375" customWidth="1"/>
    <col min="11523" max="11523" width="16.453125" bestFit="1" customWidth="1"/>
    <col min="11524" max="11524" width="14.54296875" customWidth="1"/>
    <col min="11525" max="11525" width="3.08984375" customWidth="1"/>
    <col min="11526" max="11526" width="5.90625" customWidth="1"/>
    <col min="11527" max="11527" width="54.08984375" bestFit="1" customWidth="1"/>
    <col min="11529" max="11529" width="3.08984375" customWidth="1"/>
    <col min="11531" max="11531" width="32" customWidth="1"/>
    <col min="11532" max="11532" width="5.54296875" customWidth="1"/>
    <col min="11533" max="11533" width="3.08984375" customWidth="1"/>
    <col min="11534" max="11534" width="14.08984375" customWidth="1"/>
    <col min="11535" max="11535" width="12.08984375" bestFit="1" customWidth="1"/>
    <col min="11537" max="11538" width="18.90625" customWidth="1"/>
    <col min="11539" max="11539" width="3.08984375" customWidth="1"/>
    <col min="11544" max="11544" width="3.08984375" customWidth="1"/>
    <col min="11552" max="11552" width="3.08984375" customWidth="1"/>
    <col min="11559" max="11559" width="3.08984375" customWidth="1"/>
    <col min="11773" max="11773" width="14.08984375" customWidth="1"/>
    <col min="11774" max="11774" width="13.90625" customWidth="1"/>
    <col min="11775" max="11775" width="3.08984375" customWidth="1"/>
    <col min="11776" max="11776" width="8.453125" bestFit="1" customWidth="1"/>
    <col min="11777" max="11777" width="8.90625" bestFit="1" customWidth="1"/>
    <col min="11778" max="11778" width="3.08984375" customWidth="1"/>
    <col min="11779" max="11779" width="16.453125" bestFit="1" customWidth="1"/>
    <col min="11780" max="11780" width="14.54296875" customWidth="1"/>
    <col min="11781" max="11781" width="3.08984375" customWidth="1"/>
    <col min="11782" max="11782" width="5.90625" customWidth="1"/>
    <col min="11783" max="11783" width="54.08984375" bestFit="1" customWidth="1"/>
    <col min="11785" max="11785" width="3.08984375" customWidth="1"/>
    <col min="11787" max="11787" width="32" customWidth="1"/>
    <col min="11788" max="11788" width="5.54296875" customWidth="1"/>
    <col min="11789" max="11789" width="3.08984375" customWidth="1"/>
    <col min="11790" max="11790" width="14.08984375" customWidth="1"/>
    <col min="11791" max="11791" width="12.08984375" bestFit="1" customWidth="1"/>
    <col min="11793" max="11794" width="18.90625" customWidth="1"/>
    <col min="11795" max="11795" width="3.08984375" customWidth="1"/>
    <col min="11800" max="11800" width="3.08984375" customWidth="1"/>
    <col min="11808" max="11808" width="3.08984375" customWidth="1"/>
    <col min="11815" max="11815" width="3.08984375" customWidth="1"/>
    <col min="12029" max="12029" width="14.08984375" customWidth="1"/>
    <col min="12030" max="12030" width="13.90625" customWidth="1"/>
    <col min="12031" max="12031" width="3.08984375" customWidth="1"/>
    <col min="12032" max="12032" width="8.453125" bestFit="1" customWidth="1"/>
    <col min="12033" max="12033" width="8.90625" bestFit="1" customWidth="1"/>
    <col min="12034" max="12034" width="3.08984375" customWidth="1"/>
    <col min="12035" max="12035" width="16.453125" bestFit="1" customWidth="1"/>
    <col min="12036" max="12036" width="14.54296875" customWidth="1"/>
    <col min="12037" max="12037" width="3.08984375" customWidth="1"/>
    <col min="12038" max="12038" width="5.90625" customWidth="1"/>
    <col min="12039" max="12039" width="54.08984375" bestFit="1" customWidth="1"/>
    <col min="12041" max="12041" width="3.08984375" customWidth="1"/>
    <col min="12043" max="12043" width="32" customWidth="1"/>
    <col min="12044" max="12044" width="5.54296875" customWidth="1"/>
    <col min="12045" max="12045" width="3.08984375" customWidth="1"/>
    <col min="12046" max="12046" width="14.08984375" customWidth="1"/>
    <col min="12047" max="12047" width="12.08984375" bestFit="1" customWidth="1"/>
    <col min="12049" max="12050" width="18.90625" customWidth="1"/>
    <col min="12051" max="12051" width="3.08984375" customWidth="1"/>
    <col min="12056" max="12056" width="3.08984375" customWidth="1"/>
    <col min="12064" max="12064" width="3.08984375" customWidth="1"/>
    <col min="12071" max="12071" width="3.08984375" customWidth="1"/>
    <col min="12285" max="12285" width="14.08984375" customWidth="1"/>
    <col min="12286" max="12286" width="13.90625" customWidth="1"/>
    <col min="12287" max="12287" width="3.08984375" customWidth="1"/>
    <col min="12288" max="12288" width="8.453125" bestFit="1" customWidth="1"/>
    <col min="12289" max="12289" width="8.90625" bestFit="1" customWidth="1"/>
    <col min="12290" max="12290" width="3.08984375" customWidth="1"/>
    <col min="12291" max="12291" width="16.453125" bestFit="1" customWidth="1"/>
    <col min="12292" max="12292" width="14.54296875" customWidth="1"/>
    <col min="12293" max="12293" width="3.08984375" customWidth="1"/>
    <col min="12294" max="12294" width="5.90625" customWidth="1"/>
    <col min="12295" max="12295" width="54.08984375" bestFit="1" customWidth="1"/>
    <col min="12297" max="12297" width="3.08984375" customWidth="1"/>
    <col min="12299" max="12299" width="32" customWidth="1"/>
    <col min="12300" max="12300" width="5.54296875" customWidth="1"/>
    <col min="12301" max="12301" width="3.08984375" customWidth="1"/>
    <col min="12302" max="12302" width="14.08984375" customWidth="1"/>
    <col min="12303" max="12303" width="12.08984375" bestFit="1" customWidth="1"/>
    <col min="12305" max="12306" width="18.90625" customWidth="1"/>
    <col min="12307" max="12307" width="3.08984375" customWidth="1"/>
    <col min="12312" max="12312" width="3.08984375" customWidth="1"/>
    <col min="12320" max="12320" width="3.08984375" customWidth="1"/>
    <col min="12327" max="12327" width="3.08984375" customWidth="1"/>
    <col min="12541" max="12541" width="14.08984375" customWidth="1"/>
    <col min="12542" max="12542" width="13.90625" customWidth="1"/>
    <col min="12543" max="12543" width="3.08984375" customWidth="1"/>
    <col min="12544" max="12544" width="8.453125" bestFit="1" customWidth="1"/>
    <col min="12545" max="12545" width="8.90625" bestFit="1" customWidth="1"/>
    <col min="12546" max="12546" width="3.08984375" customWidth="1"/>
    <col min="12547" max="12547" width="16.453125" bestFit="1" customWidth="1"/>
    <col min="12548" max="12548" width="14.54296875" customWidth="1"/>
    <col min="12549" max="12549" width="3.08984375" customWidth="1"/>
    <col min="12550" max="12550" width="5.90625" customWidth="1"/>
    <col min="12551" max="12551" width="54.08984375" bestFit="1" customWidth="1"/>
    <col min="12553" max="12553" width="3.08984375" customWidth="1"/>
    <col min="12555" max="12555" width="32" customWidth="1"/>
    <col min="12556" max="12556" width="5.54296875" customWidth="1"/>
    <col min="12557" max="12557" width="3.08984375" customWidth="1"/>
    <col min="12558" max="12558" width="14.08984375" customWidth="1"/>
    <col min="12559" max="12559" width="12.08984375" bestFit="1" customWidth="1"/>
    <col min="12561" max="12562" width="18.90625" customWidth="1"/>
    <col min="12563" max="12563" width="3.08984375" customWidth="1"/>
    <col min="12568" max="12568" width="3.08984375" customWidth="1"/>
    <col min="12576" max="12576" width="3.08984375" customWidth="1"/>
    <col min="12583" max="12583" width="3.08984375" customWidth="1"/>
    <col min="12797" max="12797" width="14.08984375" customWidth="1"/>
    <col min="12798" max="12798" width="13.90625" customWidth="1"/>
    <col min="12799" max="12799" width="3.08984375" customWidth="1"/>
    <col min="12800" max="12800" width="8.453125" bestFit="1" customWidth="1"/>
    <col min="12801" max="12801" width="8.90625" bestFit="1" customWidth="1"/>
    <col min="12802" max="12802" width="3.08984375" customWidth="1"/>
    <col min="12803" max="12803" width="16.453125" bestFit="1" customWidth="1"/>
    <col min="12804" max="12804" width="14.54296875" customWidth="1"/>
    <col min="12805" max="12805" width="3.08984375" customWidth="1"/>
    <col min="12806" max="12806" width="5.90625" customWidth="1"/>
    <col min="12807" max="12807" width="54.08984375" bestFit="1" customWidth="1"/>
    <col min="12809" max="12809" width="3.08984375" customWidth="1"/>
    <col min="12811" max="12811" width="32" customWidth="1"/>
    <col min="12812" max="12812" width="5.54296875" customWidth="1"/>
    <col min="12813" max="12813" width="3.08984375" customWidth="1"/>
    <col min="12814" max="12814" width="14.08984375" customWidth="1"/>
    <col min="12815" max="12815" width="12.08984375" bestFit="1" customWidth="1"/>
    <col min="12817" max="12818" width="18.90625" customWidth="1"/>
    <col min="12819" max="12819" width="3.08984375" customWidth="1"/>
    <col min="12824" max="12824" width="3.08984375" customWidth="1"/>
    <col min="12832" max="12832" width="3.08984375" customWidth="1"/>
    <col min="12839" max="12839" width="3.08984375" customWidth="1"/>
    <col min="13053" max="13053" width="14.08984375" customWidth="1"/>
    <col min="13054" max="13054" width="13.90625" customWidth="1"/>
    <col min="13055" max="13055" width="3.08984375" customWidth="1"/>
    <col min="13056" max="13056" width="8.453125" bestFit="1" customWidth="1"/>
    <col min="13057" max="13057" width="8.90625" bestFit="1" customWidth="1"/>
    <col min="13058" max="13058" width="3.08984375" customWidth="1"/>
    <col min="13059" max="13059" width="16.453125" bestFit="1" customWidth="1"/>
    <col min="13060" max="13060" width="14.54296875" customWidth="1"/>
    <col min="13061" max="13061" width="3.08984375" customWidth="1"/>
    <col min="13062" max="13062" width="5.90625" customWidth="1"/>
    <col min="13063" max="13063" width="54.08984375" bestFit="1" customWidth="1"/>
    <col min="13065" max="13065" width="3.08984375" customWidth="1"/>
    <col min="13067" max="13067" width="32" customWidth="1"/>
    <col min="13068" max="13068" width="5.54296875" customWidth="1"/>
    <col min="13069" max="13069" width="3.08984375" customWidth="1"/>
    <col min="13070" max="13070" width="14.08984375" customWidth="1"/>
    <col min="13071" max="13071" width="12.08984375" bestFit="1" customWidth="1"/>
    <col min="13073" max="13074" width="18.90625" customWidth="1"/>
    <col min="13075" max="13075" width="3.08984375" customWidth="1"/>
    <col min="13080" max="13080" width="3.08984375" customWidth="1"/>
    <col min="13088" max="13088" width="3.08984375" customWidth="1"/>
    <col min="13095" max="13095" width="3.08984375" customWidth="1"/>
    <col min="13309" max="13309" width="14.08984375" customWidth="1"/>
    <col min="13310" max="13310" width="13.90625" customWidth="1"/>
    <col min="13311" max="13311" width="3.08984375" customWidth="1"/>
    <col min="13312" max="13312" width="8.453125" bestFit="1" customWidth="1"/>
    <col min="13313" max="13313" width="8.90625" bestFit="1" customWidth="1"/>
    <col min="13314" max="13314" width="3.08984375" customWidth="1"/>
    <col min="13315" max="13315" width="16.453125" bestFit="1" customWidth="1"/>
    <col min="13316" max="13316" width="14.54296875" customWidth="1"/>
    <col min="13317" max="13317" width="3.08984375" customWidth="1"/>
    <col min="13318" max="13318" width="5.90625" customWidth="1"/>
    <col min="13319" max="13319" width="54.08984375" bestFit="1" customWidth="1"/>
    <col min="13321" max="13321" width="3.08984375" customWidth="1"/>
    <col min="13323" max="13323" width="32" customWidth="1"/>
    <col min="13324" max="13324" width="5.54296875" customWidth="1"/>
    <col min="13325" max="13325" width="3.08984375" customWidth="1"/>
    <col min="13326" max="13326" width="14.08984375" customWidth="1"/>
    <col min="13327" max="13327" width="12.08984375" bestFit="1" customWidth="1"/>
    <col min="13329" max="13330" width="18.90625" customWidth="1"/>
    <col min="13331" max="13331" width="3.08984375" customWidth="1"/>
    <col min="13336" max="13336" width="3.08984375" customWidth="1"/>
    <col min="13344" max="13344" width="3.08984375" customWidth="1"/>
    <col min="13351" max="13351" width="3.08984375" customWidth="1"/>
    <col min="13565" max="13565" width="14.08984375" customWidth="1"/>
    <col min="13566" max="13566" width="13.90625" customWidth="1"/>
    <col min="13567" max="13567" width="3.08984375" customWidth="1"/>
    <col min="13568" max="13568" width="8.453125" bestFit="1" customWidth="1"/>
    <col min="13569" max="13569" width="8.90625" bestFit="1" customWidth="1"/>
    <col min="13570" max="13570" width="3.08984375" customWidth="1"/>
    <col min="13571" max="13571" width="16.453125" bestFit="1" customWidth="1"/>
    <col min="13572" max="13572" width="14.54296875" customWidth="1"/>
    <col min="13573" max="13573" width="3.08984375" customWidth="1"/>
    <col min="13574" max="13574" width="5.90625" customWidth="1"/>
    <col min="13575" max="13575" width="54.08984375" bestFit="1" customWidth="1"/>
    <col min="13577" max="13577" width="3.08984375" customWidth="1"/>
    <col min="13579" max="13579" width="32" customWidth="1"/>
    <col min="13580" max="13580" width="5.54296875" customWidth="1"/>
    <col min="13581" max="13581" width="3.08984375" customWidth="1"/>
    <col min="13582" max="13582" width="14.08984375" customWidth="1"/>
    <col min="13583" max="13583" width="12.08984375" bestFit="1" customWidth="1"/>
    <col min="13585" max="13586" width="18.90625" customWidth="1"/>
    <col min="13587" max="13587" width="3.08984375" customWidth="1"/>
    <col min="13592" max="13592" width="3.08984375" customWidth="1"/>
    <col min="13600" max="13600" width="3.08984375" customWidth="1"/>
    <col min="13607" max="13607" width="3.08984375" customWidth="1"/>
    <col min="13821" max="13821" width="14.08984375" customWidth="1"/>
    <col min="13822" max="13822" width="13.90625" customWidth="1"/>
    <col min="13823" max="13823" width="3.08984375" customWidth="1"/>
    <col min="13824" max="13824" width="8.453125" bestFit="1" customWidth="1"/>
    <col min="13825" max="13825" width="8.90625" bestFit="1" customWidth="1"/>
    <col min="13826" max="13826" width="3.08984375" customWidth="1"/>
    <col min="13827" max="13827" width="16.453125" bestFit="1" customWidth="1"/>
    <col min="13828" max="13828" width="14.54296875" customWidth="1"/>
    <col min="13829" max="13829" width="3.08984375" customWidth="1"/>
    <col min="13830" max="13830" width="5.90625" customWidth="1"/>
    <col min="13831" max="13831" width="54.08984375" bestFit="1" customWidth="1"/>
    <col min="13833" max="13833" width="3.08984375" customWidth="1"/>
    <col min="13835" max="13835" width="32" customWidth="1"/>
    <col min="13836" max="13836" width="5.54296875" customWidth="1"/>
    <col min="13837" max="13837" width="3.08984375" customWidth="1"/>
    <col min="13838" max="13838" width="14.08984375" customWidth="1"/>
    <col min="13839" max="13839" width="12.08984375" bestFit="1" customWidth="1"/>
    <col min="13841" max="13842" width="18.90625" customWidth="1"/>
    <col min="13843" max="13843" width="3.08984375" customWidth="1"/>
    <col min="13848" max="13848" width="3.08984375" customWidth="1"/>
    <col min="13856" max="13856" width="3.08984375" customWidth="1"/>
    <col min="13863" max="13863" width="3.08984375" customWidth="1"/>
    <col min="14077" max="14077" width="14.08984375" customWidth="1"/>
    <col min="14078" max="14078" width="13.90625" customWidth="1"/>
    <col min="14079" max="14079" width="3.08984375" customWidth="1"/>
    <col min="14080" max="14080" width="8.453125" bestFit="1" customWidth="1"/>
    <col min="14081" max="14081" width="8.90625" bestFit="1" customWidth="1"/>
    <col min="14082" max="14082" width="3.08984375" customWidth="1"/>
    <col min="14083" max="14083" width="16.453125" bestFit="1" customWidth="1"/>
    <col min="14084" max="14084" width="14.54296875" customWidth="1"/>
    <col min="14085" max="14085" width="3.08984375" customWidth="1"/>
    <col min="14086" max="14086" width="5.90625" customWidth="1"/>
    <col min="14087" max="14087" width="54.08984375" bestFit="1" customWidth="1"/>
    <col min="14089" max="14089" width="3.08984375" customWidth="1"/>
    <col min="14091" max="14091" width="32" customWidth="1"/>
    <col min="14092" max="14092" width="5.54296875" customWidth="1"/>
    <col min="14093" max="14093" width="3.08984375" customWidth="1"/>
    <col min="14094" max="14094" width="14.08984375" customWidth="1"/>
    <col min="14095" max="14095" width="12.08984375" bestFit="1" customWidth="1"/>
    <col min="14097" max="14098" width="18.90625" customWidth="1"/>
    <col min="14099" max="14099" width="3.08984375" customWidth="1"/>
    <col min="14104" max="14104" width="3.08984375" customWidth="1"/>
    <col min="14112" max="14112" width="3.08984375" customWidth="1"/>
    <col min="14119" max="14119" width="3.08984375" customWidth="1"/>
    <col min="14333" max="14333" width="14.08984375" customWidth="1"/>
    <col min="14334" max="14334" width="13.90625" customWidth="1"/>
    <col min="14335" max="14335" width="3.08984375" customWidth="1"/>
    <col min="14336" max="14336" width="8.453125" bestFit="1" customWidth="1"/>
    <col min="14337" max="14337" width="8.90625" bestFit="1" customWidth="1"/>
    <col min="14338" max="14338" width="3.08984375" customWidth="1"/>
    <col min="14339" max="14339" width="16.453125" bestFit="1" customWidth="1"/>
    <col min="14340" max="14340" width="14.54296875" customWidth="1"/>
    <col min="14341" max="14341" width="3.08984375" customWidth="1"/>
    <col min="14342" max="14342" width="5.90625" customWidth="1"/>
    <col min="14343" max="14343" width="54.08984375" bestFit="1" customWidth="1"/>
    <col min="14345" max="14345" width="3.08984375" customWidth="1"/>
    <col min="14347" max="14347" width="32" customWidth="1"/>
    <col min="14348" max="14348" width="5.54296875" customWidth="1"/>
    <col min="14349" max="14349" width="3.08984375" customWidth="1"/>
    <col min="14350" max="14350" width="14.08984375" customWidth="1"/>
    <col min="14351" max="14351" width="12.08984375" bestFit="1" customWidth="1"/>
    <col min="14353" max="14354" width="18.90625" customWidth="1"/>
    <col min="14355" max="14355" width="3.08984375" customWidth="1"/>
    <col min="14360" max="14360" width="3.08984375" customWidth="1"/>
    <col min="14368" max="14368" width="3.08984375" customWidth="1"/>
    <col min="14375" max="14375" width="3.08984375" customWidth="1"/>
    <col min="14589" max="14589" width="14.08984375" customWidth="1"/>
    <col min="14590" max="14590" width="13.90625" customWidth="1"/>
    <col min="14591" max="14591" width="3.08984375" customWidth="1"/>
    <col min="14592" max="14592" width="8.453125" bestFit="1" customWidth="1"/>
    <col min="14593" max="14593" width="8.90625" bestFit="1" customWidth="1"/>
    <col min="14594" max="14594" width="3.08984375" customWidth="1"/>
    <col min="14595" max="14595" width="16.453125" bestFit="1" customWidth="1"/>
    <col min="14596" max="14596" width="14.54296875" customWidth="1"/>
    <col min="14597" max="14597" width="3.08984375" customWidth="1"/>
    <col min="14598" max="14598" width="5.90625" customWidth="1"/>
    <col min="14599" max="14599" width="54.08984375" bestFit="1" customWidth="1"/>
    <col min="14601" max="14601" width="3.08984375" customWidth="1"/>
    <col min="14603" max="14603" width="32" customWidth="1"/>
    <col min="14604" max="14604" width="5.54296875" customWidth="1"/>
    <col min="14605" max="14605" width="3.08984375" customWidth="1"/>
    <col min="14606" max="14606" width="14.08984375" customWidth="1"/>
    <col min="14607" max="14607" width="12.08984375" bestFit="1" customWidth="1"/>
    <col min="14609" max="14610" width="18.90625" customWidth="1"/>
    <col min="14611" max="14611" width="3.08984375" customWidth="1"/>
    <col min="14616" max="14616" width="3.08984375" customWidth="1"/>
    <col min="14624" max="14624" width="3.08984375" customWidth="1"/>
    <col min="14631" max="14631" width="3.08984375" customWidth="1"/>
    <col min="14845" max="14845" width="14.08984375" customWidth="1"/>
    <col min="14846" max="14846" width="13.90625" customWidth="1"/>
    <col min="14847" max="14847" width="3.08984375" customWidth="1"/>
    <col min="14848" max="14848" width="8.453125" bestFit="1" customWidth="1"/>
    <col min="14849" max="14849" width="8.90625" bestFit="1" customWidth="1"/>
    <col min="14850" max="14850" width="3.08984375" customWidth="1"/>
    <col min="14851" max="14851" width="16.453125" bestFit="1" customWidth="1"/>
    <col min="14852" max="14852" width="14.54296875" customWidth="1"/>
    <col min="14853" max="14853" width="3.08984375" customWidth="1"/>
    <col min="14854" max="14854" width="5.90625" customWidth="1"/>
    <col min="14855" max="14855" width="54.08984375" bestFit="1" customWidth="1"/>
    <col min="14857" max="14857" width="3.08984375" customWidth="1"/>
    <col min="14859" max="14859" width="32" customWidth="1"/>
    <col min="14860" max="14860" width="5.54296875" customWidth="1"/>
    <col min="14861" max="14861" width="3.08984375" customWidth="1"/>
    <col min="14862" max="14862" width="14.08984375" customWidth="1"/>
    <col min="14863" max="14863" width="12.08984375" bestFit="1" customWidth="1"/>
    <col min="14865" max="14866" width="18.90625" customWidth="1"/>
    <col min="14867" max="14867" width="3.08984375" customWidth="1"/>
    <col min="14872" max="14872" width="3.08984375" customWidth="1"/>
    <col min="14880" max="14880" width="3.08984375" customWidth="1"/>
    <col min="14887" max="14887" width="3.08984375" customWidth="1"/>
    <col min="15101" max="15101" width="14.08984375" customWidth="1"/>
    <col min="15102" max="15102" width="13.90625" customWidth="1"/>
    <col min="15103" max="15103" width="3.08984375" customWidth="1"/>
    <col min="15104" max="15104" width="8.453125" bestFit="1" customWidth="1"/>
    <col min="15105" max="15105" width="8.90625" bestFit="1" customWidth="1"/>
    <col min="15106" max="15106" width="3.08984375" customWidth="1"/>
    <col min="15107" max="15107" width="16.453125" bestFit="1" customWidth="1"/>
    <col min="15108" max="15108" width="14.54296875" customWidth="1"/>
    <col min="15109" max="15109" width="3.08984375" customWidth="1"/>
    <col min="15110" max="15110" width="5.90625" customWidth="1"/>
    <col min="15111" max="15111" width="54.08984375" bestFit="1" customWidth="1"/>
    <col min="15113" max="15113" width="3.08984375" customWidth="1"/>
    <col min="15115" max="15115" width="32" customWidth="1"/>
    <col min="15116" max="15116" width="5.54296875" customWidth="1"/>
    <col min="15117" max="15117" width="3.08984375" customWidth="1"/>
    <col min="15118" max="15118" width="14.08984375" customWidth="1"/>
    <col min="15119" max="15119" width="12.08984375" bestFit="1" customWidth="1"/>
    <col min="15121" max="15122" width="18.90625" customWidth="1"/>
    <col min="15123" max="15123" width="3.08984375" customWidth="1"/>
    <col min="15128" max="15128" width="3.08984375" customWidth="1"/>
    <col min="15136" max="15136" width="3.08984375" customWidth="1"/>
    <col min="15143" max="15143" width="3.08984375" customWidth="1"/>
    <col min="15357" max="15357" width="14.08984375" customWidth="1"/>
    <col min="15358" max="15358" width="13.90625" customWidth="1"/>
    <col min="15359" max="15359" width="3.08984375" customWidth="1"/>
    <col min="15360" max="15360" width="8.453125" bestFit="1" customWidth="1"/>
    <col min="15361" max="15361" width="8.90625" bestFit="1" customWidth="1"/>
    <col min="15362" max="15362" width="3.08984375" customWidth="1"/>
    <col min="15363" max="15363" width="16.453125" bestFit="1" customWidth="1"/>
    <col min="15364" max="15364" width="14.54296875" customWidth="1"/>
    <col min="15365" max="15365" width="3.08984375" customWidth="1"/>
    <col min="15366" max="15366" width="5.90625" customWidth="1"/>
    <col min="15367" max="15367" width="54.08984375" bestFit="1" customWidth="1"/>
    <col min="15369" max="15369" width="3.08984375" customWidth="1"/>
    <col min="15371" max="15371" width="32" customWidth="1"/>
    <col min="15372" max="15372" width="5.54296875" customWidth="1"/>
    <col min="15373" max="15373" width="3.08984375" customWidth="1"/>
    <col min="15374" max="15374" width="14.08984375" customWidth="1"/>
    <col min="15375" max="15375" width="12.08984375" bestFit="1" customWidth="1"/>
    <col min="15377" max="15378" width="18.90625" customWidth="1"/>
    <col min="15379" max="15379" width="3.08984375" customWidth="1"/>
    <col min="15384" max="15384" width="3.08984375" customWidth="1"/>
    <col min="15392" max="15392" width="3.08984375" customWidth="1"/>
    <col min="15399" max="15399" width="3.08984375" customWidth="1"/>
    <col min="15613" max="15613" width="14.08984375" customWidth="1"/>
    <col min="15614" max="15614" width="13.90625" customWidth="1"/>
    <col min="15615" max="15615" width="3.08984375" customWidth="1"/>
    <col min="15616" max="15616" width="8.453125" bestFit="1" customWidth="1"/>
    <col min="15617" max="15617" width="8.90625" bestFit="1" customWidth="1"/>
    <col min="15618" max="15618" width="3.08984375" customWidth="1"/>
    <col min="15619" max="15619" width="16.453125" bestFit="1" customWidth="1"/>
    <col min="15620" max="15620" width="14.54296875" customWidth="1"/>
    <col min="15621" max="15621" width="3.08984375" customWidth="1"/>
    <col min="15622" max="15622" width="5.90625" customWidth="1"/>
    <col min="15623" max="15623" width="54.08984375" bestFit="1" customWidth="1"/>
    <col min="15625" max="15625" width="3.08984375" customWidth="1"/>
    <col min="15627" max="15627" width="32" customWidth="1"/>
    <col min="15628" max="15628" width="5.54296875" customWidth="1"/>
    <col min="15629" max="15629" width="3.08984375" customWidth="1"/>
    <col min="15630" max="15630" width="14.08984375" customWidth="1"/>
    <col min="15631" max="15631" width="12.08984375" bestFit="1" customWidth="1"/>
    <col min="15633" max="15634" width="18.90625" customWidth="1"/>
    <col min="15635" max="15635" width="3.08984375" customWidth="1"/>
    <col min="15640" max="15640" width="3.08984375" customWidth="1"/>
    <col min="15648" max="15648" width="3.08984375" customWidth="1"/>
    <col min="15655" max="15655" width="3.08984375" customWidth="1"/>
    <col min="15869" max="15869" width="14.08984375" customWidth="1"/>
    <col min="15870" max="15870" width="13.90625" customWidth="1"/>
    <col min="15871" max="15871" width="3.08984375" customWidth="1"/>
    <col min="15872" max="15872" width="8.453125" bestFit="1" customWidth="1"/>
    <col min="15873" max="15873" width="8.90625" bestFit="1" customWidth="1"/>
    <col min="15874" max="15874" width="3.08984375" customWidth="1"/>
    <col min="15875" max="15875" width="16.453125" bestFit="1" customWidth="1"/>
    <col min="15876" max="15876" width="14.54296875" customWidth="1"/>
    <col min="15877" max="15877" width="3.08984375" customWidth="1"/>
    <col min="15878" max="15878" width="5.90625" customWidth="1"/>
    <col min="15879" max="15879" width="54.08984375" bestFit="1" customWidth="1"/>
    <col min="15881" max="15881" width="3.08984375" customWidth="1"/>
    <col min="15883" max="15883" width="32" customWidth="1"/>
    <col min="15884" max="15884" width="5.54296875" customWidth="1"/>
    <col min="15885" max="15885" width="3.08984375" customWidth="1"/>
    <col min="15886" max="15886" width="14.08984375" customWidth="1"/>
    <col min="15887" max="15887" width="12.08984375" bestFit="1" customWidth="1"/>
    <col min="15889" max="15890" width="18.90625" customWidth="1"/>
    <col min="15891" max="15891" width="3.08984375" customWidth="1"/>
    <col min="15896" max="15896" width="3.08984375" customWidth="1"/>
    <col min="15904" max="15904" width="3.08984375" customWidth="1"/>
    <col min="15911" max="15911" width="3.08984375" customWidth="1"/>
    <col min="16125" max="16125" width="14.08984375" customWidth="1"/>
    <col min="16126" max="16126" width="13.90625" customWidth="1"/>
    <col min="16127" max="16127" width="3.08984375" customWidth="1"/>
    <col min="16128" max="16128" width="8.453125" bestFit="1" customWidth="1"/>
    <col min="16129" max="16129" width="8.90625" bestFit="1" customWidth="1"/>
    <col min="16130" max="16130" width="3.08984375" customWidth="1"/>
    <col min="16131" max="16131" width="16.453125" bestFit="1" customWidth="1"/>
    <col min="16132" max="16132" width="14.54296875" customWidth="1"/>
    <col min="16133" max="16133" width="3.08984375" customWidth="1"/>
    <col min="16134" max="16134" width="5.90625" customWidth="1"/>
    <col min="16135" max="16135" width="54.08984375" bestFit="1" customWidth="1"/>
    <col min="16137" max="16137" width="3.08984375" customWidth="1"/>
    <col min="16139" max="16139" width="32" customWidth="1"/>
    <col min="16140" max="16140" width="5.54296875" customWidth="1"/>
    <col min="16141" max="16141" width="3.08984375" customWidth="1"/>
    <col min="16142" max="16142" width="14.08984375" customWidth="1"/>
    <col min="16143" max="16143" width="12.08984375" bestFit="1" customWidth="1"/>
    <col min="16145" max="16146" width="18.90625" customWidth="1"/>
    <col min="16147" max="16147" width="3.08984375" customWidth="1"/>
    <col min="16152" max="16152" width="3.08984375" customWidth="1"/>
    <col min="16160" max="16160" width="3.08984375" customWidth="1"/>
    <col min="16167" max="16167" width="3.08984375" customWidth="1"/>
    <col min="16376" max="16384" width="10.90625" customWidth="1"/>
  </cols>
  <sheetData>
    <row r="1" spans="1:43" x14ac:dyDescent="0.35">
      <c r="A1" s="1" t="s">
        <v>188</v>
      </c>
    </row>
    <row r="2" spans="1:43" x14ac:dyDescent="0.35">
      <c r="A2" s="3" t="s">
        <v>189</v>
      </c>
      <c r="AI2" s="138" t="s">
        <v>0</v>
      </c>
    </row>
    <row r="3" spans="1:43" x14ac:dyDescent="0.35">
      <c r="A3" s="1"/>
      <c r="C3" s="140" t="s">
        <v>1</v>
      </c>
      <c r="D3" s="140"/>
      <c r="E3" s="4"/>
      <c r="F3" s="136"/>
      <c r="G3" s="136"/>
      <c r="H3" s="4"/>
      <c r="I3" s="136"/>
      <c r="J3" s="136"/>
      <c r="K3" s="4"/>
      <c r="L3" s="136"/>
      <c r="M3" s="136"/>
      <c r="N3" s="136"/>
      <c r="O3" s="4"/>
      <c r="P3" s="136"/>
      <c r="Q3" s="139" t="s">
        <v>2</v>
      </c>
      <c r="R3" s="136"/>
      <c r="T3" s="140" t="s">
        <v>3</v>
      </c>
      <c r="U3" s="141"/>
      <c r="V3" s="141"/>
      <c r="X3" s="5"/>
      <c r="Z3" s="140" t="s">
        <v>4</v>
      </c>
      <c r="AA3" s="141"/>
      <c r="AB3" s="141"/>
      <c r="AE3" s="140" t="s">
        <v>5</v>
      </c>
      <c r="AF3" s="141"/>
      <c r="AH3" s="140" t="s">
        <v>6</v>
      </c>
      <c r="AK3" s="1"/>
      <c r="AN3" s="1"/>
      <c r="AQ3" s="1"/>
    </row>
    <row r="4" spans="1:43" x14ac:dyDescent="0.35">
      <c r="A4" s="138"/>
    </row>
    <row r="5" spans="1:43" ht="13.4" customHeight="1" x14ac:dyDescent="0.35">
      <c r="A5" s="138"/>
      <c r="C5" s="261" t="s">
        <v>7</v>
      </c>
      <c r="D5" s="261"/>
      <c r="F5" s="175" t="s">
        <v>8</v>
      </c>
      <c r="G5" s="142">
        <v>9745</v>
      </c>
      <c r="I5" s="261" t="s">
        <v>9</v>
      </c>
      <c r="J5" s="261"/>
      <c r="L5" s="262" t="s">
        <v>10</v>
      </c>
      <c r="M5" s="262"/>
      <c r="N5" s="262"/>
      <c r="O5" s="4"/>
      <c r="P5" s="138" t="s">
        <v>11</v>
      </c>
      <c r="Q5" s="136"/>
      <c r="R5" s="136"/>
      <c r="T5" s="138"/>
      <c r="U5" s="136" t="s">
        <v>12</v>
      </c>
      <c r="V5" s="136" t="s">
        <v>13</v>
      </c>
      <c r="W5" s="136" t="s">
        <v>14</v>
      </c>
      <c r="X5" s="139"/>
      <c r="Z5" s="263" t="s">
        <v>15</v>
      </c>
      <c r="AA5" s="264"/>
      <c r="AB5" s="264"/>
      <c r="AC5" s="264"/>
      <c r="AH5" s="6" t="s">
        <v>149</v>
      </c>
      <c r="AI5" s="7">
        <v>872</v>
      </c>
      <c r="AL5" s="8"/>
      <c r="AN5" s="9"/>
      <c r="AQ5" s="9"/>
    </row>
    <row r="6" spans="1:43" ht="15" thickBot="1" x14ac:dyDescent="0.4">
      <c r="P6" t="s">
        <v>16</v>
      </c>
      <c r="R6" s="10">
        <v>0.2</v>
      </c>
      <c r="T6" s="138" t="s">
        <v>17</v>
      </c>
      <c r="Z6" s="264"/>
      <c r="AA6" s="264"/>
      <c r="AB6" s="264"/>
      <c r="AC6" s="264"/>
      <c r="AH6" s="6" t="s">
        <v>150</v>
      </c>
      <c r="AI6" s="7">
        <v>219</v>
      </c>
      <c r="AL6" s="8"/>
    </row>
    <row r="7" spans="1:43" ht="39" customHeight="1" thickBot="1" x14ac:dyDescent="0.4">
      <c r="C7" s="11" t="s">
        <v>18</v>
      </c>
      <c r="D7" s="12" t="s">
        <v>19</v>
      </c>
      <c r="I7" s="13" t="s">
        <v>18</v>
      </c>
      <c r="J7" s="14" t="s">
        <v>20</v>
      </c>
      <c r="L7" s="15" t="s">
        <v>21</v>
      </c>
      <c r="M7" s="16" t="s">
        <v>22</v>
      </c>
      <c r="N7" s="17" t="s">
        <v>23</v>
      </c>
      <c r="O7" s="18"/>
      <c r="P7" s="19" t="s">
        <v>24</v>
      </c>
      <c r="Q7" s="139"/>
      <c r="R7" s="20">
        <v>0.25</v>
      </c>
      <c r="T7" s="13" t="s">
        <v>18</v>
      </c>
      <c r="U7" s="13" t="s">
        <v>25</v>
      </c>
      <c r="V7" s="12" t="s">
        <v>168</v>
      </c>
      <c r="W7" s="13" t="s">
        <v>169</v>
      </c>
      <c r="X7" s="137"/>
      <c r="Z7" s="143">
        <v>7.0000000000000007E-2</v>
      </c>
      <c r="AA7" s="144"/>
      <c r="AE7" s="176" t="s">
        <v>170</v>
      </c>
      <c r="AF7" s="177" t="s">
        <v>171</v>
      </c>
      <c r="AH7" s="6" t="s">
        <v>152</v>
      </c>
      <c r="AI7" s="7">
        <v>872</v>
      </c>
    </row>
    <row r="8" spans="1:43" x14ac:dyDescent="0.35">
      <c r="B8" s="5"/>
      <c r="C8" s="21">
        <v>1</v>
      </c>
      <c r="D8" s="22">
        <v>791882</v>
      </c>
      <c r="I8" s="23">
        <v>1</v>
      </c>
      <c r="J8" s="43">
        <v>113053</v>
      </c>
      <c r="L8" s="24">
        <v>1</v>
      </c>
      <c r="M8" s="25" t="s">
        <v>26</v>
      </c>
      <c r="N8" s="26">
        <v>1.08</v>
      </c>
      <c r="O8" s="27"/>
      <c r="P8" s="28"/>
      <c r="Q8" s="28"/>
      <c r="R8" s="28"/>
      <c r="T8" s="21">
        <v>1</v>
      </c>
      <c r="U8" s="145">
        <v>32709</v>
      </c>
      <c r="V8" s="29">
        <v>1088</v>
      </c>
      <c r="W8" s="29">
        <v>1088</v>
      </c>
      <c r="X8" s="30"/>
      <c r="AE8" s="178" t="s">
        <v>172</v>
      </c>
      <c r="AF8" s="179" t="s">
        <v>153</v>
      </c>
    </row>
    <row r="9" spans="1:43" x14ac:dyDescent="0.35">
      <c r="C9" s="31">
        <v>2</v>
      </c>
      <c r="D9" s="22">
        <v>791882</v>
      </c>
      <c r="I9" s="32">
        <v>2</v>
      </c>
      <c r="J9" s="43">
        <v>113053</v>
      </c>
      <c r="L9" s="24">
        <v>2</v>
      </c>
      <c r="M9" s="25" t="s">
        <v>27</v>
      </c>
      <c r="N9" s="26">
        <v>1.05</v>
      </c>
      <c r="O9" s="27"/>
      <c r="P9" s="28"/>
      <c r="Q9" s="28"/>
      <c r="R9" s="28"/>
      <c r="T9" s="31">
        <v>2</v>
      </c>
      <c r="U9" s="145">
        <v>32709</v>
      </c>
      <c r="V9" s="60">
        <f>T9*V$8</f>
        <v>2176</v>
      </c>
      <c r="W9" s="60">
        <f>T9*W$8</f>
        <v>2176</v>
      </c>
      <c r="X9" s="33"/>
      <c r="AE9" s="178" t="s">
        <v>173</v>
      </c>
      <c r="AF9" s="179" t="s">
        <v>174</v>
      </c>
      <c r="AK9" t="s">
        <v>0</v>
      </c>
    </row>
    <row r="10" spans="1:43" x14ac:dyDescent="0.35">
      <c r="C10" s="31">
        <v>3</v>
      </c>
      <c r="D10" s="22">
        <v>791882</v>
      </c>
      <c r="I10" s="32">
        <v>3</v>
      </c>
      <c r="J10" s="43">
        <v>113053</v>
      </c>
      <c r="L10" s="24">
        <v>3</v>
      </c>
      <c r="M10" s="25" t="s">
        <v>28</v>
      </c>
      <c r="N10" s="26">
        <v>1.02</v>
      </c>
      <c r="O10" s="27"/>
      <c r="P10" s="28"/>
      <c r="Q10" s="28"/>
      <c r="R10" s="28"/>
      <c r="T10" s="31">
        <v>3</v>
      </c>
      <c r="U10" s="145">
        <v>32709</v>
      </c>
      <c r="V10" s="60">
        <f t="shared" ref="V10:V73" si="0">T10*V$8</f>
        <v>3264</v>
      </c>
      <c r="W10" s="60">
        <f t="shared" ref="W10:W73" si="1">T10*W$8</f>
        <v>3264</v>
      </c>
      <c r="X10" s="33"/>
      <c r="AA10" s="138" t="s">
        <v>0</v>
      </c>
      <c r="AE10" s="180" t="s">
        <v>175</v>
      </c>
      <c r="AF10" s="179" t="s">
        <v>176</v>
      </c>
    </row>
    <row r="11" spans="1:43" x14ac:dyDescent="0.35">
      <c r="C11" s="31">
        <v>4</v>
      </c>
      <c r="D11" s="22">
        <v>791882</v>
      </c>
      <c r="I11" s="32">
        <v>4</v>
      </c>
      <c r="J11" s="43">
        <v>113053</v>
      </c>
      <c r="L11" s="146">
        <v>4</v>
      </c>
      <c r="M11" s="25" t="s">
        <v>29</v>
      </c>
      <c r="N11" s="34"/>
      <c r="O11" s="35"/>
      <c r="P11" s="36"/>
      <c r="Q11" s="36"/>
      <c r="R11" s="36"/>
      <c r="T11" s="31">
        <v>4</v>
      </c>
      <c r="U11" s="145">
        <v>32709</v>
      </c>
      <c r="V11" s="60">
        <f t="shared" si="0"/>
        <v>4352</v>
      </c>
      <c r="W11" s="60">
        <f t="shared" si="1"/>
        <v>4352</v>
      </c>
      <c r="X11" s="33"/>
      <c r="AE11" s="181" t="s">
        <v>177</v>
      </c>
      <c r="AF11" s="179" t="s">
        <v>178</v>
      </c>
    </row>
    <row r="12" spans="1:43" x14ac:dyDescent="0.35">
      <c r="C12" s="31">
        <v>5</v>
      </c>
      <c r="D12" s="22">
        <v>791882</v>
      </c>
      <c r="I12" s="32">
        <v>5</v>
      </c>
      <c r="J12" s="43">
        <v>113053</v>
      </c>
      <c r="L12" s="24">
        <v>4.0999999999999996</v>
      </c>
      <c r="M12" s="25" t="s">
        <v>30</v>
      </c>
      <c r="N12" s="26">
        <v>1</v>
      </c>
      <c r="O12" s="27"/>
      <c r="P12" s="28"/>
      <c r="Q12" s="28"/>
      <c r="R12" s="28"/>
      <c r="T12" s="31">
        <v>5</v>
      </c>
      <c r="U12" s="145">
        <v>32709</v>
      </c>
      <c r="V12" s="60">
        <f t="shared" si="0"/>
        <v>5440</v>
      </c>
      <c r="W12" s="60">
        <f t="shared" si="1"/>
        <v>5440</v>
      </c>
      <c r="X12" s="33"/>
      <c r="AE12" s="182"/>
      <c r="AF12" s="182"/>
    </row>
    <row r="13" spans="1:43" x14ac:dyDescent="0.35">
      <c r="C13" s="31">
        <v>6</v>
      </c>
      <c r="D13" s="22">
        <v>791882</v>
      </c>
      <c r="I13" s="32">
        <v>6</v>
      </c>
      <c r="J13" s="43">
        <v>113053</v>
      </c>
      <c r="L13" s="24">
        <v>4.2</v>
      </c>
      <c r="M13" s="25" t="s">
        <v>31</v>
      </c>
      <c r="N13" s="37">
        <v>1.03</v>
      </c>
      <c r="O13" s="38"/>
      <c r="P13" s="39"/>
      <c r="Q13" s="39"/>
      <c r="R13" s="39"/>
      <c r="T13" s="31">
        <v>6</v>
      </c>
      <c r="U13" s="145">
        <v>32709</v>
      </c>
      <c r="V13" s="60">
        <f t="shared" si="0"/>
        <v>6528</v>
      </c>
      <c r="W13" s="60">
        <f t="shared" si="1"/>
        <v>6528</v>
      </c>
      <c r="X13" s="33"/>
    </row>
    <row r="14" spans="1:43" x14ac:dyDescent="0.35">
      <c r="C14" s="31">
        <v>7</v>
      </c>
      <c r="D14" s="22">
        <v>791882</v>
      </c>
      <c r="F14" s="138" t="s">
        <v>0</v>
      </c>
      <c r="I14" s="32">
        <v>7</v>
      </c>
      <c r="J14" s="43">
        <v>113053</v>
      </c>
      <c r="L14" s="24">
        <v>5</v>
      </c>
      <c r="M14" s="25" t="s">
        <v>32</v>
      </c>
      <c r="N14" s="37">
        <v>1</v>
      </c>
      <c r="O14" s="38"/>
      <c r="P14" s="39"/>
      <c r="Q14" s="39"/>
      <c r="R14" s="39"/>
      <c r="T14" s="31">
        <v>7</v>
      </c>
      <c r="U14" s="145">
        <v>32709</v>
      </c>
      <c r="V14" s="60">
        <f t="shared" si="0"/>
        <v>7616</v>
      </c>
      <c r="W14" s="60">
        <f t="shared" si="1"/>
        <v>7616</v>
      </c>
      <c r="X14" s="33"/>
      <c r="AE14" s="140" t="s">
        <v>33</v>
      </c>
      <c r="AF14" s="141"/>
    </row>
    <row r="15" spans="1:43" x14ac:dyDescent="0.35">
      <c r="C15" s="31">
        <v>8</v>
      </c>
      <c r="D15" s="22">
        <v>791882</v>
      </c>
      <c r="I15" s="32">
        <v>8</v>
      </c>
      <c r="J15" s="43">
        <v>113053</v>
      </c>
      <c r="L15" s="24">
        <v>6</v>
      </c>
      <c r="M15" s="25" t="s">
        <v>34</v>
      </c>
      <c r="N15" s="37">
        <v>1.07</v>
      </c>
      <c r="O15" s="38"/>
      <c r="P15" s="39"/>
      <c r="Q15" s="39"/>
      <c r="R15" s="39"/>
      <c r="T15" s="31">
        <v>8</v>
      </c>
      <c r="U15" s="145">
        <v>32709</v>
      </c>
      <c r="V15" s="60">
        <f t="shared" si="0"/>
        <v>8704</v>
      </c>
      <c r="W15" s="60">
        <f t="shared" si="1"/>
        <v>8704</v>
      </c>
      <c r="X15" s="33"/>
    </row>
    <row r="16" spans="1:43" x14ac:dyDescent="0.35">
      <c r="C16" s="31">
        <v>9</v>
      </c>
      <c r="D16" s="22">
        <v>791882</v>
      </c>
      <c r="I16" s="32">
        <v>9</v>
      </c>
      <c r="J16" s="43">
        <v>113053</v>
      </c>
      <c r="L16" s="24">
        <v>7</v>
      </c>
      <c r="M16" s="25" t="s">
        <v>35</v>
      </c>
      <c r="N16" s="37">
        <v>1.1200000000000001</v>
      </c>
      <c r="O16" s="38"/>
      <c r="P16" s="39"/>
      <c r="Q16" s="39"/>
      <c r="R16" s="39"/>
      <c r="T16" s="31">
        <v>9</v>
      </c>
      <c r="U16" s="145">
        <v>32709</v>
      </c>
      <c r="V16" s="60">
        <f t="shared" si="0"/>
        <v>9792</v>
      </c>
      <c r="W16" s="60">
        <f t="shared" si="1"/>
        <v>9792</v>
      </c>
      <c r="X16" s="33"/>
      <c r="AE16" s="183" t="s">
        <v>170</v>
      </c>
      <c r="AF16" s="184" t="s">
        <v>179</v>
      </c>
    </row>
    <row r="17" spans="2:32" x14ac:dyDescent="0.35">
      <c r="C17" s="31">
        <v>10</v>
      </c>
      <c r="D17" s="22">
        <v>791882</v>
      </c>
      <c r="I17" s="32">
        <v>10</v>
      </c>
      <c r="J17" s="43">
        <v>113053</v>
      </c>
      <c r="L17" s="24">
        <v>8</v>
      </c>
      <c r="M17" s="25" t="s">
        <v>36</v>
      </c>
      <c r="N17" s="37">
        <v>1.2</v>
      </c>
      <c r="O17" s="38"/>
      <c r="P17" s="39"/>
      <c r="Q17" s="39"/>
      <c r="R17" s="39"/>
      <c r="T17" s="31">
        <v>10</v>
      </c>
      <c r="U17" s="145">
        <v>32709</v>
      </c>
      <c r="V17" s="60">
        <f t="shared" si="0"/>
        <v>10880</v>
      </c>
      <c r="W17" s="60">
        <f t="shared" si="1"/>
        <v>10880</v>
      </c>
      <c r="X17" s="33"/>
      <c r="AE17" s="185" t="s">
        <v>180</v>
      </c>
      <c r="AF17" s="186" t="s">
        <v>154</v>
      </c>
    </row>
    <row r="18" spans="2:32" x14ac:dyDescent="0.35">
      <c r="C18" s="31">
        <v>11</v>
      </c>
      <c r="D18" s="22">
        <v>791882</v>
      </c>
      <c r="I18" s="32">
        <v>11</v>
      </c>
      <c r="J18" s="43">
        <v>113053</v>
      </c>
      <c r="L18" s="146">
        <v>9</v>
      </c>
      <c r="M18" s="25" t="s">
        <v>37</v>
      </c>
      <c r="N18" s="40"/>
      <c r="O18" s="38"/>
      <c r="P18" s="39"/>
      <c r="Q18" s="39"/>
      <c r="R18" s="39"/>
      <c r="T18" s="31">
        <v>11</v>
      </c>
      <c r="U18" s="145">
        <v>32709</v>
      </c>
      <c r="V18" s="60">
        <f t="shared" si="0"/>
        <v>11968</v>
      </c>
      <c r="W18" s="60">
        <f t="shared" si="1"/>
        <v>11968</v>
      </c>
      <c r="X18" s="33"/>
      <c r="AE18" s="185" t="s">
        <v>181</v>
      </c>
      <c r="AF18" s="186" t="s">
        <v>182</v>
      </c>
    </row>
    <row r="19" spans="2:32" x14ac:dyDescent="0.35">
      <c r="C19" s="31">
        <v>12</v>
      </c>
      <c r="D19" s="22">
        <v>791882</v>
      </c>
      <c r="I19" s="32">
        <v>12</v>
      </c>
      <c r="J19" s="43">
        <v>113053</v>
      </c>
      <c r="L19" s="24">
        <v>9.1</v>
      </c>
      <c r="M19" s="25" t="s">
        <v>38</v>
      </c>
      <c r="N19" s="37">
        <v>1.25</v>
      </c>
      <c r="O19" s="38"/>
      <c r="P19" s="39"/>
      <c r="Q19" s="39"/>
      <c r="R19" s="39"/>
      <c r="T19" s="31">
        <v>12</v>
      </c>
      <c r="U19" s="145">
        <v>32709</v>
      </c>
      <c r="V19" s="60">
        <f t="shared" si="0"/>
        <v>13056</v>
      </c>
      <c r="W19" s="60">
        <f t="shared" si="1"/>
        <v>13056</v>
      </c>
      <c r="X19" s="33"/>
      <c r="AE19" s="187" t="s">
        <v>183</v>
      </c>
      <c r="AF19" s="187" t="s">
        <v>198</v>
      </c>
    </row>
    <row r="20" spans="2:32" x14ac:dyDescent="0.35">
      <c r="C20" s="31">
        <v>13</v>
      </c>
      <c r="D20" s="22">
        <v>791882</v>
      </c>
      <c r="I20" s="32">
        <v>13</v>
      </c>
      <c r="J20" s="43">
        <v>113053</v>
      </c>
      <c r="L20" s="24">
        <v>9.1999999999999993</v>
      </c>
      <c r="M20" s="25" t="s">
        <v>39</v>
      </c>
      <c r="N20" s="37">
        <v>1.6</v>
      </c>
      <c r="O20" s="38"/>
      <c r="P20" s="39"/>
      <c r="Q20" s="39"/>
      <c r="R20" s="39"/>
      <c r="T20" s="31">
        <v>13</v>
      </c>
      <c r="U20" s="145">
        <v>32709</v>
      </c>
      <c r="V20" s="60">
        <f t="shared" si="0"/>
        <v>14144</v>
      </c>
      <c r="W20" s="60">
        <f t="shared" si="1"/>
        <v>14144</v>
      </c>
      <c r="X20" s="33"/>
    </row>
    <row r="21" spans="2:32" x14ac:dyDescent="0.35">
      <c r="C21" s="31">
        <v>14</v>
      </c>
      <c r="D21" s="22">
        <v>791882</v>
      </c>
      <c r="I21" s="32">
        <v>14</v>
      </c>
      <c r="J21" s="43">
        <v>113053</v>
      </c>
      <c r="L21" s="24">
        <v>9.3000000000000007</v>
      </c>
      <c r="M21" s="25" t="s">
        <v>40</v>
      </c>
      <c r="N21" s="37">
        <v>2</v>
      </c>
      <c r="O21" s="38"/>
      <c r="P21" s="39"/>
      <c r="Q21" s="39"/>
      <c r="R21" s="39"/>
      <c r="T21" s="31">
        <v>14</v>
      </c>
      <c r="U21" s="145">
        <v>32709</v>
      </c>
      <c r="V21" s="60">
        <f t="shared" si="0"/>
        <v>15232</v>
      </c>
      <c r="W21" s="60">
        <f t="shared" si="1"/>
        <v>15232</v>
      </c>
      <c r="X21" s="33"/>
    </row>
    <row r="22" spans="2:32" x14ac:dyDescent="0.35">
      <c r="C22" s="31">
        <v>15</v>
      </c>
      <c r="D22" s="22">
        <v>791882</v>
      </c>
      <c r="I22" s="32">
        <v>15</v>
      </c>
      <c r="J22" s="43">
        <v>113053</v>
      </c>
      <c r="L22" s="146">
        <v>10</v>
      </c>
      <c r="M22" s="25" t="s">
        <v>41</v>
      </c>
      <c r="N22" s="40"/>
      <c r="O22" s="38"/>
      <c r="P22" s="39"/>
      <c r="Q22" s="39"/>
      <c r="R22" s="39"/>
      <c r="T22" s="31">
        <v>15</v>
      </c>
      <c r="U22" s="145">
        <v>32709</v>
      </c>
      <c r="V22" s="60">
        <f t="shared" si="0"/>
        <v>16320</v>
      </c>
      <c r="W22" s="60">
        <f t="shared" si="1"/>
        <v>16320</v>
      </c>
      <c r="X22" s="33"/>
    </row>
    <row r="23" spans="2:32" x14ac:dyDescent="0.35">
      <c r="C23" s="31">
        <v>16</v>
      </c>
      <c r="D23" s="22">
        <v>791882</v>
      </c>
      <c r="I23" s="32">
        <v>16</v>
      </c>
      <c r="J23" s="43">
        <v>113053</v>
      </c>
      <c r="L23" s="24">
        <v>10.1</v>
      </c>
      <c r="M23" s="25" t="s">
        <v>42</v>
      </c>
      <c r="N23" s="37">
        <v>1.6</v>
      </c>
      <c r="O23" s="38"/>
      <c r="P23" s="39"/>
      <c r="Q23" s="39"/>
      <c r="R23" s="39"/>
      <c r="T23" s="31">
        <v>16</v>
      </c>
      <c r="U23" s="145">
        <v>32709</v>
      </c>
      <c r="V23" s="60">
        <f t="shared" si="0"/>
        <v>17408</v>
      </c>
      <c r="W23" s="60">
        <f t="shared" si="1"/>
        <v>17408</v>
      </c>
      <c r="X23" s="33"/>
    </row>
    <row r="24" spans="2:32" x14ac:dyDescent="0.35">
      <c r="C24" s="31">
        <v>17</v>
      </c>
      <c r="D24" s="22">
        <v>791882</v>
      </c>
      <c r="I24" s="32">
        <v>17</v>
      </c>
      <c r="J24" s="43">
        <v>113053</v>
      </c>
      <c r="L24" s="24">
        <v>10.199999999999999</v>
      </c>
      <c r="M24" s="25" t="s">
        <v>43</v>
      </c>
      <c r="N24" s="37">
        <v>1.43</v>
      </c>
      <c r="O24" s="38"/>
      <c r="P24" s="39"/>
      <c r="Q24" s="39"/>
      <c r="R24" s="39"/>
      <c r="T24" s="31">
        <v>17</v>
      </c>
      <c r="U24" s="145">
        <v>32709</v>
      </c>
      <c r="V24" s="60">
        <f t="shared" si="0"/>
        <v>18496</v>
      </c>
      <c r="W24" s="60">
        <f t="shared" si="1"/>
        <v>18496</v>
      </c>
      <c r="X24" s="33"/>
    </row>
    <row r="25" spans="2:32" x14ac:dyDescent="0.35">
      <c r="B25" s="138" t="s">
        <v>0</v>
      </c>
      <c r="C25" s="31">
        <v>18</v>
      </c>
      <c r="D25" s="22">
        <v>791882</v>
      </c>
      <c r="I25" s="32">
        <v>18</v>
      </c>
      <c r="J25" s="43">
        <v>113053</v>
      </c>
      <c r="L25" s="24">
        <v>10.3</v>
      </c>
      <c r="M25" s="25" t="s">
        <v>44</v>
      </c>
      <c r="N25" s="37">
        <v>4</v>
      </c>
      <c r="O25" s="38"/>
      <c r="P25" s="39"/>
      <c r="Q25" s="39"/>
      <c r="R25" s="39"/>
      <c r="T25" s="31">
        <v>18</v>
      </c>
      <c r="U25" s="145">
        <v>32709</v>
      </c>
      <c r="V25" s="60">
        <f t="shared" si="0"/>
        <v>19584</v>
      </c>
      <c r="W25" s="60">
        <f t="shared" si="1"/>
        <v>19584</v>
      </c>
      <c r="X25" s="33"/>
    </row>
    <row r="26" spans="2:32" x14ac:dyDescent="0.35">
      <c r="C26" s="31">
        <v>19</v>
      </c>
      <c r="D26" s="22">
        <v>791882</v>
      </c>
      <c r="I26" s="32">
        <v>19</v>
      </c>
      <c r="J26" s="43">
        <v>113053</v>
      </c>
      <c r="L26" s="146">
        <v>11</v>
      </c>
      <c r="M26" s="25" t="s">
        <v>45</v>
      </c>
      <c r="N26" s="41"/>
      <c r="O26" s="35"/>
      <c r="P26" s="36"/>
      <c r="Q26" s="36"/>
      <c r="R26" s="36"/>
      <c r="T26" s="31">
        <v>19</v>
      </c>
      <c r="U26" s="145">
        <v>32709</v>
      </c>
      <c r="V26" s="60">
        <f t="shared" si="0"/>
        <v>20672</v>
      </c>
      <c r="W26" s="60">
        <f t="shared" si="1"/>
        <v>20672</v>
      </c>
      <c r="X26" s="33"/>
    </row>
    <row r="27" spans="2:32" x14ac:dyDescent="0.35">
      <c r="C27" s="24">
        <v>20</v>
      </c>
      <c r="D27" s="22">
        <v>818024</v>
      </c>
      <c r="I27" s="42">
        <v>20</v>
      </c>
      <c r="J27" s="43">
        <v>150729</v>
      </c>
      <c r="L27" s="24">
        <v>11.1</v>
      </c>
      <c r="M27" s="25" t="s">
        <v>46</v>
      </c>
      <c r="N27" s="37">
        <v>1.19</v>
      </c>
      <c r="O27" s="38"/>
      <c r="P27" s="39"/>
      <c r="Q27" s="39"/>
      <c r="R27" s="39"/>
      <c r="T27" s="24">
        <v>20</v>
      </c>
      <c r="U27" s="145">
        <v>32709</v>
      </c>
      <c r="V27" s="60">
        <f t="shared" si="0"/>
        <v>21760</v>
      </c>
      <c r="W27" s="60">
        <f t="shared" si="1"/>
        <v>21760</v>
      </c>
      <c r="X27" s="33"/>
    </row>
    <row r="28" spans="2:32" x14ac:dyDescent="0.35">
      <c r="C28" s="24">
        <v>21</v>
      </c>
      <c r="D28" s="22">
        <v>844170</v>
      </c>
      <c r="I28" s="42">
        <v>21</v>
      </c>
      <c r="J28" s="43">
        <v>150729</v>
      </c>
      <c r="L28" s="24">
        <v>11.2</v>
      </c>
      <c r="M28" s="25" t="s">
        <v>47</v>
      </c>
      <c r="N28" s="37">
        <v>1.6</v>
      </c>
      <c r="O28" s="38"/>
      <c r="P28" s="39"/>
      <c r="Q28" s="39"/>
      <c r="R28" s="39"/>
      <c r="T28" s="24">
        <v>21</v>
      </c>
      <c r="U28" s="145">
        <v>32709</v>
      </c>
      <c r="V28" s="60">
        <f t="shared" si="0"/>
        <v>22848</v>
      </c>
      <c r="W28" s="60">
        <f t="shared" si="1"/>
        <v>22848</v>
      </c>
      <c r="X28" s="33"/>
    </row>
    <row r="29" spans="2:32" x14ac:dyDescent="0.35">
      <c r="C29" s="24">
        <v>22</v>
      </c>
      <c r="D29" s="22">
        <v>870313</v>
      </c>
      <c r="I29" s="42">
        <v>22</v>
      </c>
      <c r="J29" s="43">
        <v>150729</v>
      </c>
      <c r="L29" s="24">
        <v>12</v>
      </c>
      <c r="M29" s="25" t="s">
        <v>48</v>
      </c>
      <c r="N29" s="37">
        <v>1</v>
      </c>
      <c r="O29" s="38"/>
      <c r="P29" s="39"/>
      <c r="Q29" s="39"/>
      <c r="R29" s="39"/>
      <c r="T29" s="24">
        <v>22</v>
      </c>
      <c r="U29" s="145">
        <v>32709</v>
      </c>
      <c r="V29" s="60">
        <f t="shared" si="0"/>
        <v>23936</v>
      </c>
      <c r="W29" s="60">
        <f t="shared" si="1"/>
        <v>23936</v>
      </c>
      <c r="X29" s="33"/>
    </row>
    <row r="30" spans="2:32" x14ac:dyDescent="0.35">
      <c r="C30" s="24">
        <v>23</v>
      </c>
      <c r="D30" s="22">
        <v>896459</v>
      </c>
      <c r="I30" s="42">
        <v>23</v>
      </c>
      <c r="J30" s="43">
        <v>150729</v>
      </c>
      <c r="L30" s="31">
        <v>13</v>
      </c>
      <c r="M30" s="25" t="s">
        <v>49</v>
      </c>
      <c r="N30" s="37">
        <v>1.03</v>
      </c>
      <c r="O30" s="38"/>
      <c r="P30" s="39"/>
      <c r="Q30" s="39"/>
      <c r="R30" s="39"/>
      <c r="T30" s="24">
        <v>23</v>
      </c>
      <c r="U30" s="145">
        <v>32709</v>
      </c>
      <c r="V30" s="60">
        <f t="shared" si="0"/>
        <v>25024</v>
      </c>
      <c r="W30" s="60">
        <f t="shared" si="1"/>
        <v>25024</v>
      </c>
      <c r="X30" s="33"/>
    </row>
    <row r="31" spans="2:32" x14ac:dyDescent="0.35">
      <c r="C31" s="24">
        <v>24</v>
      </c>
      <c r="D31" s="22">
        <v>922611</v>
      </c>
      <c r="I31" s="42">
        <v>24</v>
      </c>
      <c r="J31" s="43">
        <v>150729</v>
      </c>
      <c r="L31" s="31">
        <v>14</v>
      </c>
      <c r="M31" s="25" t="s">
        <v>50</v>
      </c>
      <c r="N31" s="37">
        <v>1</v>
      </c>
      <c r="O31" s="38"/>
      <c r="P31" s="39"/>
      <c r="Q31" s="39"/>
      <c r="R31" s="39"/>
      <c r="T31" s="24">
        <v>24</v>
      </c>
      <c r="U31" s="145">
        <v>32709</v>
      </c>
      <c r="V31" s="60">
        <f t="shared" si="0"/>
        <v>26112</v>
      </c>
      <c r="W31" s="60">
        <f t="shared" si="1"/>
        <v>26112</v>
      </c>
      <c r="X31" s="33"/>
    </row>
    <row r="32" spans="2:32" x14ac:dyDescent="0.35">
      <c r="C32" s="24">
        <v>25</v>
      </c>
      <c r="D32" s="22">
        <v>948749</v>
      </c>
      <c r="I32" s="42">
        <v>25</v>
      </c>
      <c r="J32" s="43">
        <v>150729</v>
      </c>
      <c r="L32" s="147">
        <v>15</v>
      </c>
      <c r="M32" s="25" t="s">
        <v>51</v>
      </c>
      <c r="N32" s="41"/>
      <c r="O32" s="35"/>
      <c r="P32" s="36"/>
      <c r="Q32" s="36"/>
      <c r="R32" s="36"/>
      <c r="T32" s="24">
        <v>25</v>
      </c>
      <c r="U32" s="145">
        <v>32709</v>
      </c>
      <c r="V32" s="60">
        <f t="shared" si="0"/>
        <v>27200</v>
      </c>
      <c r="W32" s="60">
        <f t="shared" si="1"/>
        <v>27200</v>
      </c>
      <c r="X32" s="33"/>
    </row>
    <row r="33" spans="3:24" x14ac:dyDescent="0.35">
      <c r="C33" s="24">
        <v>26</v>
      </c>
      <c r="D33" s="22">
        <v>974896</v>
      </c>
      <c r="I33" s="42">
        <v>26</v>
      </c>
      <c r="J33" s="43">
        <v>150729</v>
      </c>
      <c r="L33" s="31">
        <v>15.1</v>
      </c>
      <c r="M33" s="25" t="s">
        <v>52</v>
      </c>
      <c r="N33" s="37">
        <v>1</v>
      </c>
      <c r="O33" s="38"/>
      <c r="P33" s="39"/>
      <c r="Q33" s="39"/>
      <c r="R33" s="39"/>
      <c r="T33" s="24">
        <v>26</v>
      </c>
      <c r="U33" s="145">
        <v>32709</v>
      </c>
      <c r="V33" s="60">
        <f t="shared" si="0"/>
        <v>28288</v>
      </c>
      <c r="W33" s="60">
        <f t="shared" si="1"/>
        <v>28288</v>
      </c>
      <c r="X33" s="33"/>
    </row>
    <row r="34" spans="3:24" x14ac:dyDescent="0.35">
      <c r="C34" s="24">
        <v>27</v>
      </c>
      <c r="D34" s="22">
        <v>1001041</v>
      </c>
      <c r="I34" s="42">
        <v>27</v>
      </c>
      <c r="J34" s="43">
        <v>150729</v>
      </c>
      <c r="L34" s="31">
        <v>15.2</v>
      </c>
      <c r="M34" s="25" t="s">
        <v>53</v>
      </c>
      <c r="N34" s="37">
        <v>1.1200000000000001</v>
      </c>
      <c r="O34" s="38"/>
      <c r="P34" s="39"/>
      <c r="Q34" s="39"/>
      <c r="R34" s="39"/>
      <c r="T34" s="24">
        <v>27</v>
      </c>
      <c r="U34" s="145">
        <v>32709</v>
      </c>
      <c r="V34" s="60">
        <f t="shared" si="0"/>
        <v>29376</v>
      </c>
      <c r="W34" s="60">
        <f t="shared" si="1"/>
        <v>29376</v>
      </c>
      <c r="X34" s="33"/>
    </row>
    <row r="35" spans="3:24" x14ac:dyDescent="0.35">
      <c r="C35" s="24">
        <v>28</v>
      </c>
      <c r="D35" s="22">
        <v>1027186</v>
      </c>
      <c r="I35" s="42">
        <v>28</v>
      </c>
      <c r="J35" s="43">
        <v>150729</v>
      </c>
      <c r="L35" s="31">
        <v>16</v>
      </c>
      <c r="M35" s="44" t="s">
        <v>54</v>
      </c>
      <c r="N35" s="37">
        <v>1</v>
      </c>
      <c r="O35" s="38"/>
      <c r="P35" s="39"/>
      <c r="Q35" s="39"/>
      <c r="R35" s="39"/>
      <c r="T35" s="24">
        <v>28</v>
      </c>
      <c r="U35" s="145">
        <v>32709</v>
      </c>
      <c r="V35" s="60">
        <f t="shared" si="0"/>
        <v>30464</v>
      </c>
      <c r="W35" s="60">
        <f t="shared" si="1"/>
        <v>30464</v>
      </c>
      <c r="X35" s="33"/>
    </row>
    <row r="36" spans="3:24" ht="15" thickBot="1" x14ac:dyDescent="0.4">
      <c r="C36" s="24">
        <v>29</v>
      </c>
      <c r="D36" s="22">
        <v>1053339</v>
      </c>
      <c r="I36" s="42">
        <v>29</v>
      </c>
      <c r="J36" s="43">
        <v>150729</v>
      </c>
      <c r="L36" s="45">
        <v>17</v>
      </c>
      <c r="M36" s="46" t="s">
        <v>55</v>
      </c>
      <c r="N36" s="47">
        <v>1</v>
      </c>
      <c r="O36" s="38"/>
      <c r="P36" s="39"/>
      <c r="Q36" s="39"/>
      <c r="R36" s="39"/>
      <c r="T36" s="24">
        <v>29</v>
      </c>
      <c r="U36" s="145">
        <v>32709</v>
      </c>
      <c r="V36" s="60">
        <f t="shared" si="0"/>
        <v>31552</v>
      </c>
      <c r="W36" s="60">
        <f t="shared" si="1"/>
        <v>31552</v>
      </c>
      <c r="X36" s="33"/>
    </row>
    <row r="37" spans="3:24" x14ac:dyDescent="0.35">
      <c r="C37" s="24">
        <v>30</v>
      </c>
      <c r="D37" s="22">
        <v>1079479</v>
      </c>
      <c r="I37" s="42">
        <v>30</v>
      </c>
      <c r="J37" s="43">
        <v>150729</v>
      </c>
      <c r="T37" s="24">
        <v>30</v>
      </c>
      <c r="U37" s="145">
        <v>32709</v>
      </c>
      <c r="V37" s="60">
        <f t="shared" si="0"/>
        <v>32640</v>
      </c>
      <c r="W37" s="60">
        <f t="shared" si="1"/>
        <v>32640</v>
      </c>
      <c r="X37" s="33"/>
    </row>
    <row r="38" spans="3:24" x14ac:dyDescent="0.35">
      <c r="C38" s="24">
        <v>31</v>
      </c>
      <c r="D38" s="22">
        <v>1105624</v>
      </c>
      <c r="I38" s="42">
        <v>31</v>
      </c>
      <c r="J38" s="43">
        <v>150729</v>
      </c>
      <c r="T38" s="24">
        <v>31</v>
      </c>
      <c r="U38" s="145">
        <v>32709</v>
      </c>
      <c r="V38" s="60">
        <f t="shared" si="0"/>
        <v>33728</v>
      </c>
      <c r="W38" s="60">
        <f t="shared" si="1"/>
        <v>33728</v>
      </c>
      <c r="X38" s="33"/>
    </row>
    <row r="39" spans="3:24" x14ac:dyDescent="0.35">
      <c r="C39" s="24">
        <v>32</v>
      </c>
      <c r="D39" s="22">
        <v>1131769</v>
      </c>
      <c r="I39" s="42">
        <v>32</v>
      </c>
      <c r="J39" s="43">
        <v>150729</v>
      </c>
      <c r="L39" s="148">
        <v>1</v>
      </c>
      <c r="T39" s="24">
        <v>32</v>
      </c>
      <c r="U39" s="145">
        <v>32709</v>
      </c>
      <c r="V39" s="60">
        <f t="shared" si="0"/>
        <v>34816</v>
      </c>
      <c r="W39" s="60">
        <f t="shared" si="1"/>
        <v>34816</v>
      </c>
      <c r="X39" s="33"/>
    </row>
    <row r="40" spans="3:24" x14ac:dyDescent="0.35">
      <c r="C40" s="24">
        <v>33</v>
      </c>
      <c r="D40" s="22">
        <v>1157912</v>
      </c>
      <c r="I40" s="42">
        <v>33</v>
      </c>
      <c r="J40" s="43">
        <v>150729</v>
      </c>
      <c r="L40" s="24">
        <v>2</v>
      </c>
      <c r="T40" s="24">
        <v>33</v>
      </c>
      <c r="U40" s="145">
        <v>32709</v>
      </c>
      <c r="V40" s="60">
        <f t="shared" si="0"/>
        <v>35904</v>
      </c>
      <c r="W40" s="60">
        <f t="shared" si="1"/>
        <v>35904</v>
      </c>
      <c r="X40" s="33"/>
    </row>
    <row r="41" spans="3:24" x14ac:dyDescent="0.35">
      <c r="C41" s="24">
        <v>34</v>
      </c>
      <c r="D41" s="22">
        <v>1184065</v>
      </c>
      <c r="I41" s="42">
        <v>34</v>
      </c>
      <c r="J41" s="43">
        <v>150729</v>
      </c>
      <c r="L41" s="24">
        <v>3</v>
      </c>
      <c r="T41" s="24">
        <v>34</v>
      </c>
      <c r="U41" s="145">
        <v>32709</v>
      </c>
      <c r="V41" s="60">
        <f t="shared" si="0"/>
        <v>36992</v>
      </c>
      <c r="W41" s="60">
        <f t="shared" si="1"/>
        <v>36992</v>
      </c>
      <c r="X41" s="33"/>
    </row>
    <row r="42" spans="3:24" x14ac:dyDescent="0.35">
      <c r="C42" s="24">
        <v>35</v>
      </c>
      <c r="D42" s="22">
        <v>1210214</v>
      </c>
      <c r="I42" s="42">
        <v>35</v>
      </c>
      <c r="J42" s="43">
        <v>150729</v>
      </c>
      <c r="L42" s="146"/>
      <c r="T42" s="24">
        <v>35</v>
      </c>
      <c r="U42" s="145">
        <v>32709</v>
      </c>
      <c r="V42" s="60">
        <f t="shared" si="0"/>
        <v>38080</v>
      </c>
      <c r="W42" s="60">
        <f t="shared" si="1"/>
        <v>38080</v>
      </c>
      <c r="X42" s="33"/>
    </row>
    <row r="43" spans="3:24" x14ac:dyDescent="0.35">
      <c r="C43" s="24">
        <v>36</v>
      </c>
      <c r="D43" s="22">
        <v>1236355</v>
      </c>
      <c r="I43" s="42">
        <v>36</v>
      </c>
      <c r="J43" s="43">
        <v>150729</v>
      </c>
      <c r="L43" s="24">
        <v>4.0999999999999996</v>
      </c>
      <c r="T43" s="24">
        <v>36</v>
      </c>
      <c r="U43" s="145">
        <v>32709</v>
      </c>
      <c r="V43" s="60">
        <f t="shared" si="0"/>
        <v>39168</v>
      </c>
      <c r="W43" s="60">
        <f t="shared" si="1"/>
        <v>39168</v>
      </c>
      <c r="X43" s="33"/>
    </row>
    <row r="44" spans="3:24" x14ac:dyDescent="0.35">
      <c r="C44" s="24">
        <v>37</v>
      </c>
      <c r="D44" s="22">
        <v>1262503</v>
      </c>
      <c r="I44" s="42">
        <v>37</v>
      </c>
      <c r="J44" s="43">
        <v>150729</v>
      </c>
      <c r="L44" s="24">
        <v>4.2</v>
      </c>
      <c r="T44" s="24">
        <v>37</v>
      </c>
      <c r="U44" s="145">
        <v>32709</v>
      </c>
      <c r="V44" s="60">
        <f t="shared" si="0"/>
        <v>40256</v>
      </c>
      <c r="W44" s="60">
        <f t="shared" si="1"/>
        <v>40256</v>
      </c>
      <c r="X44" s="33"/>
    </row>
    <row r="45" spans="3:24" x14ac:dyDescent="0.35">
      <c r="C45" s="24">
        <v>38</v>
      </c>
      <c r="D45" s="22">
        <v>1288644</v>
      </c>
      <c r="I45" s="42">
        <v>38</v>
      </c>
      <c r="J45" s="43">
        <v>150729</v>
      </c>
      <c r="L45" s="24">
        <v>5</v>
      </c>
      <c r="T45" s="24">
        <v>38</v>
      </c>
      <c r="U45" s="145">
        <v>32709</v>
      </c>
      <c r="V45" s="60">
        <f t="shared" si="0"/>
        <v>41344</v>
      </c>
      <c r="W45" s="60">
        <f t="shared" si="1"/>
        <v>41344</v>
      </c>
      <c r="X45" s="33"/>
    </row>
    <row r="46" spans="3:24" x14ac:dyDescent="0.35">
      <c r="C46" s="24">
        <v>39</v>
      </c>
      <c r="D46" s="22">
        <v>1314793</v>
      </c>
      <c r="I46" s="42">
        <v>39</v>
      </c>
      <c r="J46" s="43">
        <v>150729</v>
      </c>
      <c r="L46" s="24">
        <v>6</v>
      </c>
      <c r="T46" s="24">
        <v>39</v>
      </c>
      <c r="U46" s="145">
        <v>32709</v>
      </c>
      <c r="V46" s="60">
        <f t="shared" si="0"/>
        <v>42432</v>
      </c>
      <c r="W46" s="60">
        <f t="shared" si="1"/>
        <v>42432</v>
      </c>
      <c r="X46" s="33"/>
    </row>
    <row r="47" spans="3:24" x14ac:dyDescent="0.35">
      <c r="C47" s="24">
        <v>40</v>
      </c>
      <c r="D47" s="22">
        <v>1366821</v>
      </c>
      <c r="I47" s="42">
        <v>40</v>
      </c>
      <c r="J47" s="43">
        <v>188419</v>
      </c>
      <c r="L47" s="24">
        <v>7</v>
      </c>
      <c r="T47" s="24">
        <v>40</v>
      </c>
      <c r="U47" s="145">
        <v>32709</v>
      </c>
      <c r="V47" s="60">
        <f t="shared" si="0"/>
        <v>43520</v>
      </c>
      <c r="W47" s="60">
        <f t="shared" si="1"/>
        <v>43520</v>
      </c>
      <c r="X47" s="33"/>
    </row>
    <row r="48" spans="3:24" x14ac:dyDescent="0.35">
      <c r="C48" s="24">
        <v>41</v>
      </c>
      <c r="D48" s="22">
        <v>1392968</v>
      </c>
      <c r="I48" s="42">
        <v>41</v>
      </c>
      <c r="J48" s="43">
        <v>188419</v>
      </c>
      <c r="L48" s="24">
        <v>8</v>
      </c>
      <c r="Q48" t="s">
        <v>0</v>
      </c>
      <c r="T48" s="24">
        <v>41</v>
      </c>
      <c r="U48" s="145">
        <v>65419</v>
      </c>
      <c r="V48" s="60">
        <f t="shared" si="0"/>
        <v>44608</v>
      </c>
      <c r="W48" s="60">
        <f t="shared" si="1"/>
        <v>44608</v>
      </c>
      <c r="X48" s="33"/>
    </row>
    <row r="49" spans="3:26" x14ac:dyDescent="0.35">
      <c r="C49" s="24">
        <v>42</v>
      </c>
      <c r="D49" s="22">
        <v>1419116</v>
      </c>
      <c r="I49" s="42">
        <v>42</v>
      </c>
      <c r="J49" s="43">
        <v>188419</v>
      </c>
      <c r="L49" s="146"/>
      <c r="T49" s="24">
        <v>42</v>
      </c>
      <c r="U49" s="145">
        <v>65419</v>
      </c>
      <c r="V49" s="60">
        <f t="shared" si="0"/>
        <v>45696</v>
      </c>
      <c r="W49" s="60">
        <f t="shared" si="1"/>
        <v>45696</v>
      </c>
      <c r="X49" s="33"/>
      <c r="Z49" s="5"/>
    </row>
    <row r="50" spans="3:26" x14ac:dyDescent="0.35">
      <c r="C50" s="24">
        <v>43</v>
      </c>
      <c r="D50" s="22">
        <v>1445254</v>
      </c>
      <c r="I50" s="42">
        <v>43</v>
      </c>
      <c r="J50" s="43">
        <v>188419</v>
      </c>
      <c r="L50" s="24">
        <v>9.1</v>
      </c>
      <c r="T50" s="24">
        <v>43</v>
      </c>
      <c r="U50" s="145">
        <v>65419</v>
      </c>
      <c r="V50" s="60">
        <f t="shared" si="0"/>
        <v>46784</v>
      </c>
      <c r="W50" s="60">
        <f t="shared" si="1"/>
        <v>46784</v>
      </c>
      <c r="X50" s="33"/>
    </row>
    <row r="51" spans="3:26" x14ac:dyDescent="0.35">
      <c r="C51" s="24">
        <v>44</v>
      </c>
      <c r="D51" s="22">
        <v>1471400</v>
      </c>
      <c r="I51" s="42">
        <v>44</v>
      </c>
      <c r="J51" s="43">
        <v>188419</v>
      </c>
      <c r="L51" s="24">
        <v>9.1999999999999993</v>
      </c>
      <c r="T51" s="24">
        <v>44</v>
      </c>
      <c r="U51" s="145">
        <v>65419</v>
      </c>
      <c r="V51" s="60">
        <f t="shared" si="0"/>
        <v>47872</v>
      </c>
      <c r="W51" s="60">
        <f t="shared" si="1"/>
        <v>47872</v>
      </c>
      <c r="X51" s="33"/>
    </row>
    <row r="52" spans="3:26" x14ac:dyDescent="0.35">
      <c r="C52" s="24">
        <v>45</v>
      </c>
      <c r="D52" s="22">
        <v>1497550</v>
      </c>
      <c r="I52" s="42">
        <v>45</v>
      </c>
      <c r="J52" s="43">
        <v>188419</v>
      </c>
      <c r="L52" s="24">
        <v>9.3000000000000007</v>
      </c>
      <c r="T52" s="24">
        <v>45</v>
      </c>
      <c r="U52" s="145">
        <v>65419</v>
      </c>
      <c r="V52" s="60">
        <f t="shared" si="0"/>
        <v>48960</v>
      </c>
      <c r="W52" s="60">
        <f t="shared" si="1"/>
        <v>48960</v>
      </c>
      <c r="X52" s="33"/>
    </row>
    <row r="53" spans="3:26" x14ac:dyDescent="0.35">
      <c r="C53" s="24">
        <v>46</v>
      </c>
      <c r="D53" s="22">
        <v>1523698</v>
      </c>
      <c r="I53" s="42">
        <v>46</v>
      </c>
      <c r="J53" s="43">
        <v>188419</v>
      </c>
      <c r="L53" s="146"/>
      <c r="T53" s="24">
        <v>46</v>
      </c>
      <c r="U53" s="145">
        <v>65419</v>
      </c>
      <c r="V53" s="60">
        <f t="shared" si="0"/>
        <v>50048</v>
      </c>
      <c r="W53" s="60">
        <f t="shared" si="1"/>
        <v>50048</v>
      </c>
      <c r="X53" s="33"/>
    </row>
    <row r="54" spans="3:26" x14ac:dyDescent="0.35">
      <c r="C54" s="24">
        <v>47</v>
      </c>
      <c r="D54" s="22">
        <v>1549848</v>
      </c>
      <c r="I54" s="42">
        <v>47</v>
      </c>
      <c r="J54" s="43">
        <v>188419</v>
      </c>
      <c r="L54" s="24">
        <v>10.1</v>
      </c>
      <c r="T54" s="24">
        <v>47</v>
      </c>
      <c r="U54" s="145">
        <v>65419</v>
      </c>
      <c r="V54" s="60">
        <f t="shared" si="0"/>
        <v>51136</v>
      </c>
      <c r="W54" s="60">
        <f t="shared" si="1"/>
        <v>51136</v>
      </c>
      <c r="X54" s="33"/>
    </row>
    <row r="55" spans="3:26" x14ac:dyDescent="0.35">
      <c r="C55" s="24">
        <v>48</v>
      </c>
      <c r="D55" s="22">
        <v>1575990</v>
      </c>
      <c r="I55" s="42">
        <v>48</v>
      </c>
      <c r="J55" s="43">
        <v>188419</v>
      </c>
      <c r="L55" s="24">
        <v>10.199999999999999</v>
      </c>
      <c r="T55" s="24">
        <v>48</v>
      </c>
      <c r="U55" s="145">
        <v>65419</v>
      </c>
      <c r="V55" s="60">
        <f t="shared" si="0"/>
        <v>52224</v>
      </c>
      <c r="W55" s="60">
        <f t="shared" si="1"/>
        <v>52224</v>
      </c>
      <c r="X55" s="33"/>
    </row>
    <row r="56" spans="3:26" x14ac:dyDescent="0.35">
      <c r="C56" s="24">
        <v>49</v>
      </c>
      <c r="D56" s="22">
        <v>1602136</v>
      </c>
      <c r="I56" s="42">
        <v>49</v>
      </c>
      <c r="J56" s="43">
        <v>188419</v>
      </c>
      <c r="L56" s="24">
        <v>10.3</v>
      </c>
      <c r="T56" s="24">
        <v>49</v>
      </c>
      <c r="U56" s="145">
        <v>65419</v>
      </c>
      <c r="V56" s="60">
        <f t="shared" si="0"/>
        <v>53312</v>
      </c>
      <c r="W56" s="60">
        <f t="shared" si="1"/>
        <v>53312</v>
      </c>
      <c r="X56" s="33"/>
    </row>
    <row r="57" spans="3:26" x14ac:dyDescent="0.35">
      <c r="C57" s="24">
        <v>50</v>
      </c>
      <c r="D57" s="22">
        <v>1628275</v>
      </c>
      <c r="I57" s="42">
        <v>50</v>
      </c>
      <c r="J57" s="43">
        <v>188419</v>
      </c>
      <c r="L57" s="146"/>
      <c r="T57" s="24">
        <v>50</v>
      </c>
      <c r="U57" s="145">
        <v>65419</v>
      </c>
      <c r="V57" s="60">
        <f t="shared" si="0"/>
        <v>54400</v>
      </c>
      <c r="W57" s="60">
        <f t="shared" si="1"/>
        <v>54400</v>
      </c>
      <c r="X57" s="33"/>
    </row>
    <row r="58" spans="3:26" x14ac:dyDescent="0.35">
      <c r="C58" s="24">
        <v>51</v>
      </c>
      <c r="D58" s="22">
        <v>1654429</v>
      </c>
      <c r="I58" s="42">
        <v>51</v>
      </c>
      <c r="J58" s="43">
        <v>188419</v>
      </c>
      <c r="L58" s="24">
        <v>11.1</v>
      </c>
      <c r="T58" s="24">
        <v>51</v>
      </c>
      <c r="U58" s="145">
        <v>65419</v>
      </c>
      <c r="V58" s="60">
        <f t="shared" si="0"/>
        <v>55488</v>
      </c>
      <c r="W58" s="60">
        <f t="shared" si="1"/>
        <v>55488</v>
      </c>
      <c r="X58" s="33"/>
    </row>
    <row r="59" spans="3:26" x14ac:dyDescent="0.35">
      <c r="C59" s="24">
        <v>52</v>
      </c>
      <c r="D59" s="22">
        <v>1680572</v>
      </c>
      <c r="I59" s="42">
        <v>52</v>
      </c>
      <c r="J59" s="43">
        <v>188419</v>
      </c>
      <c r="L59" s="24">
        <v>11.2</v>
      </c>
      <c r="T59" s="24">
        <v>52</v>
      </c>
      <c r="U59" s="145">
        <v>65419</v>
      </c>
      <c r="V59" s="60">
        <f t="shared" si="0"/>
        <v>56576</v>
      </c>
      <c r="W59" s="60">
        <f t="shared" si="1"/>
        <v>56576</v>
      </c>
      <c r="X59" s="33"/>
    </row>
    <row r="60" spans="3:26" x14ac:dyDescent="0.35">
      <c r="C60" s="24">
        <v>53</v>
      </c>
      <c r="D60" s="22">
        <v>1706720</v>
      </c>
      <c r="I60" s="42">
        <v>53</v>
      </c>
      <c r="J60" s="43">
        <v>188419</v>
      </c>
      <c r="L60" s="24">
        <v>12</v>
      </c>
      <c r="T60" s="24">
        <v>53</v>
      </c>
      <c r="U60" s="145">
        <v>65419</v>
      </c>
      <c r="V60" s="60">
        <f t="shared" si="0"/>
        <v>57664</v>
      </c>
      <c r="W60" s="60">
        <f t="shared" si="1"/>
        <v>57664</v>
      </c>
      <c r="X60" s="33"/>
    </row>
    <row r="61" spans="3:26" x14ac:dyDescent="0.35">
      <c r="C61" s="24">
        <v>54</v>
      </c>
      <c r="D61" s="22">
        <v>1732866</v>
      </c>
      <c r="I61" s="42">
        <v>54</v>
      </c>
      <c r="J61" s="43">
        <v>188419</v>
      </c>
      <c r="L61" s="31">
        <v>13</v>
      </c>
      <c r="T61" s="24">
        <v>54</v>
      </c>
      <c r="U61" s="145">
        <v>65419</v>
      </c>
      <c r="V61" s="60">
        <f t="shared" si="0"/>
        <v>58752</v>
      </c>
      <c r="W61" s="60">
        <f t="shared" si="1"/>
        <v>58752</v>
      </c>
      <c r="X61" s="33"/>
    </row>
    <row r="62" spans="3:26" x14ac:dyDescent="0.35">
      <c r="C62" s="24">
        <v>55</v>
      </c>
      <c r="D62" s="22">
        <v>1784896</v>
      </c>
      <c r="I62" s="42">
        <v>55</v>
      </c>
      <c r="J62" s="43">
        <v>188419</v>
      </c>
      <c r="L62" s="31">
        <v>14</v>
      </c>
      <c r="T62" s="24">
        <v>55</v>
      </c>
      <c r="U62" s="145">
        <v>65419</v>
      </c>
      <c r="V62" s="60">
        <f t="shared" si="0"/>
        <v>59840</v>
      </c>
      <c r="W62" s="60">
        <f t="shared" si="1"/>
        <v>59840</v>
      </c>
      <c r="X62" s="33"/>
    </row>
    <row r="63" spans="3:26" x14ac:dyDescent="0.35">
      <c r="C63" s="24">
        <v>56</v>
      </c>
      <c r="D63" s="22">
        <v>1811042</v>
      </c>
      <c r="I63" s="42">
        <v>56</v>
      </c>
      <c r="J63" s="43">
        <v>188419</v>
      </c>
      <c r="L63" s="147"/>
      <c r="T63" s="24">
        <v>56</v>
      </c>
      <c r="U63" s="145">
        <v>65419</v>
      </c>
      <c r="V63" s="60">
        <f t="shared" si="0"/>
        <v>60928</v>
      </c>
      <c r="W63" s="60">
        <f t="shared" si="1"/>
        <v>60928</v>
      </c>
      <c r="X63" s="33"/>
    </row>
    <row r="64" spans="3:26" x14ac:dyDescent="0.35">
      <c r="C64" s="24">
        <v>57</v>
      </c>
      <c r="D64" s="22">
        <v>1837190</v>
      </c>
      <c r="I64" s="42">
        <v>57</v>
      </c>
      <c r="J64" s="43">
        <v>188419</v>
      </c>
      <c r="L64" s="31">
        <v>15.1</v>
      </c>
      <c r="T64" s="24">
        <v>57</v>
      </c>
      <c r="U64" s="145">
        <v>65419</v>
      </c>
      <c r="V64" s="60">
        <f t="shared" si="0"/>
        <v>62016</v>
      </c>
      <c r="W64" s="60">
        <f t="shared" si="1"/>
        <v>62016</v>
      </c>
      <c r="X64" s="33"/>
    </row>
    <row r="65" spans="2:24" x14ac:dyDescent="0.35">
      <c r="C65" s="24">
        <v>58</v>
      </c>
      <c r="D65" s="22">
        <v>1863331</v>
      </c>
      <c r="I65" s="42">
        <v>58</v>
      </c>
      <c r="J65" s="43">
        <v>188419</v>
      </c>
      <c r="L65" s="31">
        <v>15.2</v>
      </c>
      <c r="T65" s="24">
        <v>58</v>
      </c>
      <c r="U65" s="145">
        <v>65419</v>
      </c>
      <c r="V65" s="60">
        <f t="shared" si="0"/>
        <v>63104</v>
      </c>
      <c r="W65" s="60">
        <f t="shared" si="1"/>
        <v>63104</v>
      </c>
      <c r="X65" s="33"/>
    </row>
    <row r="66" spans="2:24" x14ac:dyDescent="0.35">
      <c r="C66" s="24">
        <v>59</v>
      </c>
      <c r="D66" s="22">
        <v>1889477</v>
      </c>
      <c r="I66" s="42">
        <v>59</v>
      </c>
      <c r="J66" s="43">
        <v>188419</v>
      </c>
      <c r="L66" s="31">
        <v>16</v>
      </c>
      <c r="T66" s="24">
        <v>59</v>
      </c>
      <c r="U66" s="145">
        <v>65419</v>
      </c>
      <c r="V66" s="60">
        <f t="shared" si="0"/>
        <v>64192</v>
      </c>
      <c r="W66" s="60">
        <f t="shared" si="1"/>
        <v>64192</v>
      </c>
      <c r="X66" s="33"/>
    </row>
    <row r="67" spans="2:24" ht="15" thickBot="1" x14ac:dyDescent="0.4">
      <c r="C67" s="24">
        <v>60</v>
      </c>
      <c r="D67" s="22">
        <v>1915627</v>
      </c>
      <c r="I67" s="42">
        <v>60</v>
      </c>
      <c r="J67" s="43">
        <v>194449</v>
      </c>
      <c r="L67" s="45">
        <v>17</v>
      </c>
      <c r="T67" s="24">
        <v>60</v>
      </c>
      <c r="U67" s="145">
        <v>65419</v>
      </c>
      <c r="V67" s="60">
        <f t="shared" si="0"/>
        <v>65280</v>
      </c>
      <c r="W67" s="60">
        <f t="shared" si="1"/>
        <v>65280</v>
      </c>
      <c r="X67" s="33"/>
    </row>
    <row r="68" spans="2:24" x14ac:dyDescent="0.35">
      <c r="C68" s="24">
        <v>61</v>
      </c>
      <c r="D68" s="22">
        <v>1941764</v>
      </c>
      <c r="I68" s="42">
        <v>61</v>
      </c>
      <c r="J68" s="43">
        <v>194449</v>
      </c>
      <c r="T68" s="24">
        <v>61</v>
      </c>
      <c r="U68" s="145">
        <v>65419</v>
      </c>
      <c r="V68" s="60">
        <f t="shared" si="0"/>
        <v>66368</v>
      </c>
      <c r="W68" s="60">
        <f t="shared" si="1"/>
        <v>66368</v>
      </c>
      <c r="X68" s="33"/>
    </row>
    <row r="69" spans="2:24" x14ac:dyDescent="0.35">
      <c r="C69" s="24">
        <v>62</v>
      </c>
      <c r="D69" s="22">
        <v>1967913</v>
      </c>
      <c r="I69" s="42">
        <v>62</v>
      </c>
      <c r="J69" s="43">
        <v>194449</v>
      </c>
      <c r="T69" s="24">
        <v>62</v>
      </c>
      <c r="U69" s="145">
        <v>65419</v>
      </c>
      <c r="V69" s="60">
        <f t="shared" si="0"/>
        <v>67456</v>
      </c>
      <c r="W69" s="60">
        <f t="shared" si="1"/>
        <v>67456</v>
      </c>
      <c r="X69" s="33"/>
    </row>
    <row r="70" spans="2:24" x14ac:dyDescent="0.35">
      <c r="C70" s="24">
        <v>63</v>
      </c>
      <c r="D70" s="22">
        <v>1994062</v>
      </c>
      <c r="I70" s="42">
        <v>63</v>
      </c>
      <c r="J70" s="43">
        <v>194449</v>
      </c>
      <c r="T70" s="24">
        <v>63</v>
      </c>
      <c r="U70" s="145">
        <v>65419</v>
      </c>
      <c r="V70" s="60">
        <f t="shared" si="0"/>
        <v>68544</v>
      </c>
      <c r="W70" s="60">
        <f t="shared" si="1"/>
        <v>68544</v>
      </c>
      <c r="X70" s="33"/>
    </row>
    <row r="71" spans="2:24" x14ac:dyDescent="0.35">
      <c r="C71" s="24">
        <v>64</v>
      </c>
      <c r="D71" s="22">
        <v>2020205</v>
      </c>
      <c r="I71" s="42">
        <v>64</v>
      </c>
      <c r="J71" s="43">
        <v>194449</v>
      </c>
      <c r="T71" s="24">
        <v>64</v>
      </c>
      <c r="U71" s="145">
        <v>65419</v>
      </c>
      <c r="V71" s="60">
        <f t="shared" si="0"/>
        <v>69632</v>
      </c>
      <c r="W71" s="60">
        <f t="shared" si="1"/>
        <v>69632</v>
      </c>
      <c r="X71" s="33"/>
    </row>
    <row r="72" spans="2:24" x14ac:dyDescent="0.35">
      <c r="C72" s="24">
        <v>65</v>
      </c>
      <c r="D72" s="22">
        <v>2046353</v>
      </c>
      <c r="I72" s="42">
        <v>65</v>
      </c>
      <c r="J72" s="43">
        <v>210655</v>
      </c>
      <c r="T72" s="24">
        <v>65</v>
      </c>
      <c r="U72" s="145">
        <v>65419</v>
      </c>
      <c r="V72" s="60">
        <f t="shared" si="0"/>
        <v>70720</v>
      </c>
      <c r="W72" s="60">
        <f t="shared" si="1"/>
        <v>70720</v>
      </c>
      <c r="X72" s="33"/>
    </row>
    <row r="73" spans="2:24" x14ac:dyDescent="0.35">
      <c r="C73" s="24">
        <v>66</v>
      </c>
      <c r="D73" s="22">
        <v>2072494</v>
      </c>
      <c r="I73" s="42">
        <v>66</v>
      </c>
      <c r="J73" s="43">
        <v>210655</v>
      </c>
      <c r="T73" s="24">
        <v>66</v>
      </c>
      <c r="U73" s="145">
        <v>65419</v>
      </c>
      <c r="V73" s="60">
        <f t="shared" si="0"/>
        <v>71808</v>
      </c>
      <c r="W73" s="60">
        <f t="shared" si="1"/>
        <v>71808</v>
      </c>
      <c r="X73" s="33"/>
    </row>
    <row r="74" spans="2:24" x14ac:dyDescent="0.35">
      <c r="C74" s="24">
        <v>67</v>
      </c>
      <c r="D74" s="22">
        <v>2098645</v>
      </c>
      <c r="I74" s="42">
        <v>67</v>
      </c>
      <c r="J74" s="43">
        <v>210655</v>
      </c>
      <c r="T74" s="24">
        <v>67</v>
      </c>
      <c r="U74" s="145">
        <v>65419</v>
      </c>
      <c r="V74" s="60">
        <f t="shared" ref="V74:V107" si="2">T74*V$8</f>
        <v>72896</v>
      </c>
      <c r="W74" s="60">
        <f t="shared" ref="W74:W107" si="3">T74*W$8</f>
        <v>72896</v>
      </c>
      <c r="X74" s="33"/>
    </row>
    <row r="75" spans="2:24" x14ac:dyDescent="0.35">
      <c r="C75" s="24">
        <v>68</v>
      </c>
      <c r="D75" s="22">
        <v>2124789</v>
      </c>
      <c r="I75" s="42">
        <v>68</v>
      </c>
      <c r="J75" s="43">
        <v>210655</v>
      </c>
      <c r="T75" s="24">
        <v>68</v>
      </c>
      <c r="U75" s="145">
        <v>65419</v>
      </c>
      <c r="V75" s="60">
        <f t="shared" si="2"/>
        <v>73984</v>
      </c>
      <c r="W75" s="60">
        <f t="shared" si="3"/>
        <v>73984</v>
      </c>
      <c r="X75" s="33"/>
    </row>
    <row r="76" spans="2:24" x14ac:dyDescent="0.35">
      <c r="C76" s="24">
        <v>69</v>
      </c>
      <c r="D76" s="22">
        <v>2150932</v>
      </c>
      <c r="I76" s="42">
        <v>69</v>
      </c>
      <c r="J76" s="43">
        <v>210655</v>
      </c>
      <c r="T76" s="24">
        <v>69</v>
      </c>
      <c r="U76" s="145">
        <v>65419</v>
      </c>
      <c r="V76" s="60">
        <f t="shared" si="2"/>
        <v>75072</v>
      </c>
      <c r="W76" s="60">
        <f t="shared" si="3"/>
        <v>75072</v>
      </c>
      <c r="X76" s="33"/>
    </row>
    <row r="77" spans="2:24" x14ac:dyDescent="0.35">
      <c r="C77" s="24">
        <v>70</v>
      </c>
      <c r="D77" s="22">
        <v>2202972</v>
      </c>
      <c r="I77" s="42">
        <v>70</v>
      </c>
      <c r="J77" s="43">
        <v>226856</v>
      </c>
      <c r="T77" s="24">
        <v>70</v>
      </c>
      <c r="U77" s="145">
        <v>65419</v>
      </c>
      <c r="V77" s="60">
        <f t="shared" si="2"/>
        <v>76160</v>
      </c>
      <c r="W77" s="60">
        <f t="shared" si="3"/>
        <v>76160</v>
      </c>
      <c r="X77" s="33"/>
    </row>
    <row r="78" spans="2:24" x14ac:dyDescent="0.35">
      <c r="B78" s="5"/>
      <c r="C78" s="24">
        <v>71</v>
      </c>
      <c r="D78" s="22">
        <v>2229113</v>
      </c>
      <c r="I78" s="42">
        <v>71</v>
      </c>
      <c r="J78" s="43">
        <v>226856</v>
      </c>
      <c r="T78" s="24">
        <v>71</v>
      </c>
      <c r="U78" s="145">
        <v>65419</v>
      </c>
      <c r="V78" s="60">
        <f t="shared" si="2"/>
        <v>77248</v>
      </c>
      <c r="W78" s="60">
        <f t="shared" si="3"/>
        <v>77248</v>
      </c>
      <c r="X78" s="33"/>
    </row>
    <row r="79" spans="2:24" x14ac:dyDescent="0.35">
      <c r="C79" s="24">
        <v>72</v>
      </c>
      <c r="D79" s="22">
        <v>2255264</v>
      </c>
      <c r="I79" s="42">
        <v>72</v>
      </c>
      <c r="J79" s="43">
        <v>226856</v>
      </c>
      <c r="T79" s="24">
        <v>72</v>
      </c>
      <c r="U79" s="145">
        <v>65419</v>
      </c>
      <c r="V79" s="60">
        <f t="shared" si="2"/>
        <v>78336</v>
      </c>
      <c r="W79" s="60">
        <f t="shared" si="3"/>
        <v>78336</v>
      </c>
      <c r="X79" s="33"/>
    </row>
    <row r="80" spans="2:24" x14ac:dyDescent="0.35">
      <c r="C80" s="24">
        <v>73</v>
      </c>
      <c r="D80" s="22">
        <v>2281408</v>
      </c>
      <c r="I80" s="42">
        <v>73</v>
      </c>
      <c r="J80" s="43">
        <v>226856</v>
      </c>
      <c r="T80" s="24">
        <v>73</v>
      </c>
      <c r="U80" s="145">
        <v>65419</v>
      </c>
      <c r="V80" s="60">
        <f t="shared" si="2"/>
        <v>79424</v>
      </c>
      <c r="W80" s="60">
        <f t="shared" si="3"/>
        <v>79424</v>
      </c>
      <c r="X80" s="33"/>
    </row>
    <row r="81" spans="1:26" x14ac:dyDescent="0.35">
      <c r="C81" s="24">
        <v>74</v>
      </c>
      <c r="D81" s="22">
        <v>2307554</v>
      </c>
      <c r="I81" s="42">
        <v>74</v>
      </c>
      <c r="J81" s="43">
        <v>226856</v>
      </c>
      <c r="T81" s="24">
        <v>74</v>
      </c>
      <c r="U81" s="145">
        <v>65419</v>
      </c>
      <c r="V81" s="60">
        <f t="shared" si="2"/>
        <v>80512</v>
      </c>
      <c r="W81" s="60">
        <f t="shared" si="3"/>
        <v>80512</v>
      </c>
      <c r="X81" s="33"/>
    </row>
    <row r="82" spans="1:26" x14ac:dyDescent="0.35">
      <c r="C82" s="24">
        <v>75</v>
      </c>
      <c r="D82" s="22">
        <v>2333697</v>
      </c>
      <c r="I82" s="42">
        <v>75</v>
      </c>
      <c r="J82" s="43">
        <v>243065</v>
      </c>
      <c r="T82" s="24">
        <v>75</v>
      </c>
      <c r="U82" s="145">
        <v>65419</v>
      </c>
      <c r="V82" s="60">
        <f t="shared" si="2"/>
        <v>81600</v>
      </c>
      <c r="W82" s="60">
        <f t="shared" si="3"/>
        <v>81600</v>
      </c>
      <c r="X82" s="33"/>
    </row>
    <row r="83" spans="1:26" x14ac:dyDescent="0.35">
      <c r="C83" s="24">
        <v>76</v>
      </c>
      <c r="D83" s="22">
        <v>2359843</v>
      </c>
      <c r="I83" s="42">
        <v>76</v>
      </c>
      <c r="J83" s="43">
        <v>243065</v>
      </c>
      <c r="T83" s="24">
        <v>76</v>
      </c>
      <c r="U83" s="145">
        <v>65419</v>
      </c>
      <c r="V83" s="60">
        <f t="shared" si="2"/>
        <v>82688</v>
      </c>
      <c r="W83" s="60">
        <f t="shared" si="3"/>
        <v>82688</v>
      </c>
      <c r="X83" s="33"/>
    </row>
    <row r="84" spans="1:26" x14ac:dyDescent="0.35">
      <c r="C84" s="24">
        <v>77</v>
      </c>
      <c r="D84" s="22">
        <v>2385987</v>
      </c>
      <c r="I84" s="42">
        <v>77</v>
      </c>
      <c r="J84" s="43">
        <v>243065</v>
      </c>
      <c r="M84" s="138" t="s">
        <v>0</v>
      </c>
      <c r="T84" s="24">
        <v>77</v>
      </c>
      <c r="U84" s="145">
        <v>65419</v>
      </c>
      <c r="V84" s="60">
        <f t="shared" si="2"/>
        <v>83776</v>
      </c>
      <c r="W84" s="60">
        <f t="shared" si="3"/>
        <v>83776</v>
      </c>
      <c r="X84" s="33"/>
    </row>
    <row r="85" spans="1:26" x14ac:dyDescent="0.35">
      <c r="C85" s="24">
        <v>78</v>
      </c>
      <c r="D85" s="22">
        <v>2412135</v>
      </c>
      <c r="I85" s="42">
        <v>78</v>
      </c>
      <c r="J85" s="43">
        <v>243065</v>
      </c>
      <c r="T85" s="24">
        <v>78</v>
      </c>
      <c r="U85" s="145">
        <v>65419</v>
      </c>
      <c r="V85" s="60">
        <f t="shared" si="2"/>
        <v>84864</v>
      </c>
      <c r="W85" s="60">
        <f t="shared" si="3"/>
        <v>84864</v>
      </c>
      <c r="X85" s="33"/>
    </row>
    <row r="86" spans="1:26" x14ac:dyDescent="0.35">
      <c r="C86" s="24">
        <v>79</v>
      </c>
      <c r="D86" s="22">
        <v>2438279</v>
      </c>
      <c r="I86" s="42">
        <v>79</v>
      </c>
      <c r="J86" s="43">
        <v>243065</v>
      </c>
      <c r="T86" s="24">
        <v>79</v>
      </c>
      <c r="U86" s="145">
        <v>65419</v>
      </c>
      <c r="V86" s="60">
        <f t="shared" si="2"/>
        <v>85952</v>
      </c>
      <c r="W86" s="60">
        <f t="shared" si="3"/>
        <v>85952</v>
      </c>
      <c r="X86" s="33"/>
    </row>
    <row r="87" spans="1:26" x14ac:dyDescent="0.35">
      <c r="C87" s="24">
        <v>80</v>
      </c>
      <c r="D87" s="22">
        <v>2464425</v>
      </c>
      <c r="I87" s="42">
        <v>80</v>
      </c>
      <c r="J87" s="43">
        <v>259267</v>
      </c>
      <c r="T87" s="24">
        <v>80</v>
      </c>
      <c r="U87" s="145">
        <v>65419</v>
      </c>
      <c r="V87" s="60">
        <f t="shared" si="2"/>
        <v>87040</v>
      </c>
      <c r="W87" s="60">
        <f t="shared" si="3"/>
        <v>87040</v>
      </c>
      <c r="X87" s="33"/>
      <c r="Z87" s="5"/>
    </row>
    <row r="88" spans="1:26" x14ac:dyDescent="0.35">
      <c r="C88" s="24">
        <v>81</v>
      </c>
      <c r="D88" s="22">
        <v>2490568</v>
      </c>
      <c r="I88" s="42">
        <v>81</v>
      </c>
      <c r="J88" s="43">
        <v>259267</v>
      </c>
      <c r="T88" s="24">
        <v>81</v>
      </c>
      <c r="U88" s="145">
        <v>65419</v>
      </c>
      <c r="V88" s="60">
        <f t="shared" si="2"/>
        <v>88128</v>
      </c>
      <c r="W88" s="60">
        <f t="shared" si="3"/>
        <v>88128</v>
      </c>
      <c r="X88" s="49"/>
    </row>
    <row r="89" spans="1:26" x14ac:dyDescent="0.35">
      <c r="A89" s="138"/>
      <c r="C89" s="24">
        <v>82</v>
      </c>
      <c r="D89" s="22">
        <v>2516714</v>
      </c>
      <c r="F89" s="138"/>
      <c r="I89" s="42">
        <v>82</v>
      </c>
      <c r="J89" s="43">
        <v>259267</v>
      </c>
      <c r="T89" s="24">
        <v>82</v>
      </c>
      <c r="U89" s="145">
        <v>65419</v>
      </c>
      <c r="V89" s="60">
        <f t="shared" si="2"/>
        <v>89216</v>
      </c>
      <c r="W89" s="60">
        <f t="shared" si="3"/>
        <v>89216</v>
      </c>
      <c r="X89" s="49"/>
    </row>
    <row r="90" spans="1:26" x14ac:dyDescent="0.35">
      <c r="A90" s="138"/>
      <c r="C90" s="24">
        <v>83</v>
      </c>
      <c r="D90" s="22">
        <v>2542859</v>
      </c>
      <c r="F90" s="138"/>
      <c r="I90" s="42">
        <v>83</v>
      </c>
      <c r="J90" s="43">
        <v>259267</v>
      </c>
      <c r="T90" s="24">
        <v>83</v>
      </c>
      <c r="U90" s="145">
        <v>65419</v>
      </c>
      <c r="V90" s="60">
        <f t="shared" si="2"/>
        <v>90304</v>
      </c>
      <c r="W90" s="60">
        <f t="shared" si="3"/>
        <v>90304</v>
      </c>
      <c r="X90" s="49"/>
    </row>
    <row r="91" spans="1:26" x14ac:dyDescent="0.35">
      <c r="C91" s="24">
        <v>84</v>
      </c>
      <c r="D91" s="22">
        <v>2569005</v>
      </c>
      <c r="I91" s="42">
        <v>84</v>
      </c>
      <c r="J91" s="43">
        <v>259267</v>
      </c>
      <c r="T91" s="24">
        <v>84</v>
      </c>
      <c r="U91" s="145">
        <v>65419</v>
      </c>
      <c r="V91" s="60">
        <f t="shared" si="2"/>
        <v>91392</v>
      </c>
      <c r="W91" s="60">
        <f t="shared" si="3"/>
        <v>91392</v>
      </c>
      <c r="X91" s="49"/>
    </row>
    <row r="92" spans="1:26" x14ac:dyDescent="0.35">
      <c r="C92" s="24">
        <v>85</v>
      </c>
      <c r="D92" s="22">
        <v>2595151</v>
      </c>
      <c r="I92" s="42">
        <v>85</v>
      </c>
      <c r="J92" s="50">
        <v>275469</v>
      </c>
      <c r="T92" s="24">
        <v>85</v>
      </c>
      <c r="U92" s="145">
        <v>65419</v>
      </c>
      <c r="V92" s="60">
        <f t="shared" si="2"/>
        <v>92480</v>
      </c>
      <c r="W92" s="60">
        <f t="shared" si="3"/>
        <v>92480</v>
      </c>
      <c r="X92" s="49"/>
    </row>
    <row r="93" spans="1:26" x14ac:dyDescent="0.35">
      <c r="C93" s="24">
        <v>86</v>
      </c>
      <c r="D93" s="22">
        <v>2621295</v>
      </c>
      <c r="I93" s="42">
        <v>86</v>
      </c>
      <c r="J93" s="50">
        <v>275469</v>
      </c>
      <c r="T93" s="24">
        <v>86</v>
      </c>
      <c r="U93" s="145">
        <v>65419</v>
      </c>
      <c r="V93" s="60">
        <f t="shared" si="2"/>
        <v>93568</v>
      </c>
      <c r="W93" s="60">
        <f t="shared" si="3"/>
        <v>93568</v>
      </c>
      <c r="X93" s="49"/>
    </row>
    <row r="94" spans="1:26" x14ac:dyDescent="0.35">
      <c r="C94" s="24">
        <v>87</v>
      </c>
      <c r="D94" s="22">
        <v>2647442</v>
      </c>
      <c r="I94" s="42">
        <v>87</v>
      </c>
      <c r="J94" s="50">
        <v>275469</v>
      </c>
      <c r="T94" s="24">
        <v>87</v>
      </c>
      <c r="U94" s="145">
        <v>65419</v>
      </c>
      <c r="V94" s="60">
        <f t="shared" si="2"/>
        <v>94656</v>
      </c>
      <c r="W94" s="60">
        <f t="shared" si="3"/>
        <v>94656</v>
      </c>
      <c r="X94" s="49"/>
    </row>
    <row r="95" spans="1:26" x14ac:dyDescent="0.35">
      <c r="C95" s="24">
        <v>88</v>
      </c>
      <c r="D95" s="22">
        <v>2673587</v>
      </c>
      <c r="I95" s="42">
        <v>88</v>
      </c>
      <c r="J95" s="50">
        <v>275469</v>
      </c>
      <c r="T95" s="24">
        <v>88</v>
      </c>
      <c r="U95" s="145">
        <v>65419</v>
      </c>
      <c r="V95" s="60">
        <f t="shared" si="2"/>
        <v>95744</v>
      </c>
      <c r="W95" s="60">
        <f t="shared" si="3"/>
        <v>95744</v>
      </c>
      <c r="X95" s="49"/>
    </row>
    <row r="96" spans="1:26" x14ac:dyDescent="0.35">
      <c r="C96" s="24">
        <v>89</v>
      </c>
      <c r="D96" s="22">
        <v>2699733</v>
      </c>
      <c r="I96" s="42">
        <v>89</v>
      </c>
      <c r="J96" s="50">
        <v>275469</v>
      </c>
      <c r="T96" s="24">
        <v>89</v>
      </c>
      <c r="U96" s="145">
        <v>65419</v>
      </c>
      <c r="V96" s="60">
        <f t="shared" si="2"/>
        <v>96832</v>
      </c>
      <c r="W96" s="60">
        <f t="shared" si="3"/>
        <v>96832</v>
      </c>
      <c r="X96" s="49"/>
    </row>
    <row r="97" spans="1:26" x14ac:dyDescent="0.35">
      <c r="C97" s="24">
        <v>90</v>
      </c>
      <c r="D97" s="22">
        <v>2725879</v>
      </c>
      <c r="I97" s="42">
        <v>90</v>
      </c>
      <c r="J97" s="50">
        <v>291671</v>
      </c>
      <c r="T97" s="24">
        <v>90</v>
      </c>
      <c r="U97" s="145">
        <v>65419</v>
      </c>
      <c r="V97" s="60">
        <f t="shared" si="2"/>
        <v>97920</v>
      </c>
      <c r="W97" s="60">
        <f t="shared" si="3"/>
        <v>97920</v>
      </c>
      <c r="X97" s="49"/>
    </row>
    <row r="98" spans="1:26" x14ac:dyDescent="0.35">
      <c r="C98" s="24">
        <v>91</v>
      </c>
      <c r="D98" s="22">
        <v>2752023</v>
      </c>
      <c r="I98" s="42">
        <v>91</v>
      </c>
      <c r="J98" s="50">
        <v>291671</v>
      </c>
      <c r="T98" s="24">
        <v>91</v>
      </c>
      <c r="U98" s="145">
        <v>65419</v>
      </c>
      <c r="V98" s="60">
        <f t="shared" si="2"/>
        <v>99008</v>
      </c>
      <c r="W98" s="60">
        <f t="shared" si="3"/>
        <v>99008</v>
      </c>
      <c r="X98" s="49"/>
    </row>
    <row r="99" spans="1:26" x14ac:dyDescent="0.35">
      <c r="C99" s="24">
        <v>92</v>
      </c>
      <c r="D99" s="22">
        <v>2778170</v>
      </c>
      <c r="I99" s="42">
        <v>92</v>
      </c>
      <c r="J99" s="50">
        <v>291671</v>
      </c>
      <c r="T99" s="24">
        <v>92</v>
      </c>
      <c r="U99" s="145">
        <v>65419</v>
      </c>
      <c r="V99" s="60">
        <f t="shared" si="2"/>
        <v>100096</v>
      </c>
      <c r="W99" s="60">
        <f t="shared" si="3"/>
        <v>100096</v>
      </c>
      <c r="X99" s="49"/>
    </row>
    <row r="100" spans="1:26" x14ac:dyDescent="0.35">
      <c r="C100" s="24">
        <v>93</v>
      </c>
      <c r="D100" s="22">
        <v>2804315</v>
      </c>
      <c r="I100" s="42">
        <v>93</v>
      </c>
      <c r="J100" s="50">
        <v>291671</v>
      </c>
      <c r="T100" s="24">
        <v>93</v>
      </c>
      <c r="U100" s="145">
        <v>65419</v>
      </c>
      <c r="V100" s="60">
        <f t="shared" si="2"/>
        <v>101184</v>
      </c>
      <c r="W100" s="60">
        <f t="shared" si="3"/>
        <v>101184</v>
      </c>
      <c r="X100" s="49"/>
    </row>
    <row r="101" spans="1:26" x14ac:dyDescent="0.35">
      <c r="C101" s="24">
        <v>94</v>
      </c>
      <c r="D101" s="22">
        <v>2830461</v>
      </c>
      <c r="I101" s="42">
        <v>94</v>
      </c>
      <c r="J101" s="50">
        <v>291671</v>
      </c>
      <c r="T101" s="24">
        <v>94</v>
      </c>
      <c r="U101" s="145">
        <v>65419</v>
      </c>
      <c r="V101" s="60">
        <f t="shared" si="2"/>
        <v>102272</v>
      </c>
      <c r="W101" s="60">
        <f t="shared" si="3"/>
        <v>102272</v>
      </c>
      <c r="X101" s="49"/>
    </row>
    <row r="102" spans="1:26" x14ac:dyDescent="0.35">
      <c r="C102" s="24">
        <v>95</v>
      </c>
      <c r="D102" s="22">
        <v>2856607</v>
      </c>
      <c r="I102" s="42">
        <v>95</v>
      </c>
      <c r="J102" s="50">
        <v>307873</v>
      </c>
      <c r="T102" s="24">
        <v>95</v>
      </c>
      <c r="U102" s="145">
        <v>65419</v>
      </c>
      <c r="V102" s="60">
        <f t="shared" si="2"/>
        <v>103360</v>
      </c>
      <c r="W102" s="60">
        <f t="shared" si="3"/>
        <v>103360</v>
      </c>
      <c r="X102" s="49"/>
    </row>
    <row r="103" spans="1:26" x14ac:dyDescent="0.35">
      <c r="C103" s="24">
        <v>96</v>
      </c>
      <c r="D103" s="22">
        <v>2882751</v>
      </c>
      <c r="I103" s="42">
        <v>96</v>
      </c>
      <c r="J103" s="50">
        <v>307873</v>
      </c>
      <c r="T103" s="24">
        <v>96</v>
      </c>
      <c r="U103" s="145">
        <v>65419</v>
      </c>
      <c r="V103" s="60">
        <f t="shared" si="2"/>
        <v>104448</v>
      </c>
      <c r="W103" s="60">
        <f t="shared" si="3"/>
        <v>104448</v>
      </c>
      <c r="X103" s="49"/>
    </row>
    <row r="104" spans="1:26" x14ac:dyDescent="0.35">
      <c r="C104" s="24">
        <v>97</v>
      </c>
      <c r="D104" s="22">
        <v>2908897</v>
      </c>
      <c r="I104" s="42">
        <v>97</v>
      </c>
      <c r="J104" s="50">
        <v>307873</v>
      </c>
      <c r="T104" s="24">
        <v>97</v>
      </c>
      <c r="U104" s="145">
        <v>65419</v>
      </c>
      <c r="V104" s="60">
        <f t="shared" si="2"/>
        <v>105536</v>
      </c>
      <c r="W104" s="60">
        <f t="shared" si="3"/>
        <v>105536</v>
      </c>
      <c r="X104" s="49"/>
    </row>
    <row r="105" spans="1:26" x14ac:dyDescent="0.35">
      <c r="C105" s="24">
        <v>98</v>
      </c>
      <c r="D105" s="22">
        <v>2935043</v>
      </c>
      <c r="I105" s="42">
        <v>98</v>
      </c>
      <c r="J105" s="50">
        <v>307873</v>
      </c>
      <c r="T105" s="24">
        <v>98</v>
      </c>
      <c r="U105" s="145">
        <v>65419</v>
      </c>
      <c r="V105" s="60">
        <f t="shared" si="2"/>
        <v>106624</v>
      </c>
      <c r="W105" s="60">
        <f t="shared" si="3"/>
        <v>106624</v>
      </c>
      <c r="X105" s="49"/>
    </row>
    <row r="106" spans="1:26" x14ac:dyDescent="0.35">
      <c r="C106" s="24">
        <v>99</v>
      </c>
      <c r="D106" s="22">
        <v>2961189</v>
      </c>
      <c r="I106" s="42">
        <v>99</v>
      </c>
      <c r="J106" s="50">
        <v>307873</v>
      </c>
      <c r="T106" s="24">
        <v>99</v>
      </c>
      <c r="U106" s="145">
        <v>65419</v>
      </c>
      <c r="V106" s="60">
        <f t="shared" si="2"/>
        <v>107712</v>
      </c>
      <c r="W106" s="60">
        <f t="shared" si="3"/>
        <v>107712</v>
      </c>
      <c r="X106" s="49"/>
    </row>
    <row r="107" spans="1:26" x14ac:dyDescent="0.35">
      <c r="C107" s="24">
        <v>100</v>
      </c>
      <c r="D107" s="22">
        <v>2987334</v>
      </c>
      <c r="I107" s="42">
        <v>100</v>
      </c>
      <c r="J107" s="50">
        <v>324075</v>
      </c>
      <c r="T107" s="24">
        <v>100</v>
      </c>
      <c r="U107" s="145">
        <v>65419</v>
      </c>
      <c r="V107" s="60">
        <f t="shared" si="2"/>
        <v>108800</v>
      </c>
      <c r="W107" s="60">
        <f t="shared" si="3"/>
        <v>108800</v>
      </c>
      <c r="X107" s="49"/>
    </row>
    <row r="108" spans="1:26" ht="15" thickBot="1" x14ac:dyDescent="0.4">
      <c r="C108" s="51"/>
      <c r="D108" s="52"/>
      <c r="I108" s="53"/>
      <c r="J108" s="46"/>
      <c r="T108" s="51"/>
      <c r="U108" s="46"/>
      <c r="V108" s="46"/>
      <c r="W108" s="46"/>
    </row>
    <row r="110" spans="1:26" x14ac:dyDescent="0.35">
      <c r="A110" s="1" t="s">
        <v>56</v>
      </c>
      <c r="I110" s="138" t="s">
        <v>57</v>
      </c>
      <c r="J110" s="7">
        <f>[4]Multi!$T$19</f>
        <v>3423</v>
      </c>
      <c r="T110" s="138"/>
      <c r="U110" s="139" t="s">
        <v>12</v>
      </c>
      <c r="V110" s="265" t="s">
        <v>13</v>
      </c>
      <c r="W110" s="265"/>
      <c r="X110" s="139" t="s">
        <v>14</v>
      </c>
    </row>
    <row r="111" spans="1:26" ht="15" thickBot="1" x14ac:dyDescent="0.4">
      <c r="A111" s="54" t="s">
        <v>58</v>
      </c>
      <c r="B111" s="55">
        <f>[4]Base!$S$114</f>
        <v>22055</v>
      </c>
      <c r="T111" s="138" t="s">
        <v>59</v>
      </c>
    </row>
    <row r="112" spans="1:26" ht="64" thickBot="1" x14ac:dyDescent="0.4">
      <c r="T112" s="13" t="s">
        <v>18</v>
      </c>
      <c r="U112" s="13" t="s">
        <v>60</v>
      </c>
      <c r="V112" s="56" t="s">
        <v>184</v>
      </c>
      <c r="W112" s="12" t="s">
        <v>185</v>
      </c>
      <c r="X112" s="13" t="s">
        <v>186</v>
      </c>
      <c r="Z112" s="137" t="s">
        <v>0</v>
      </c>
    </row>
    <row r="113" spans="1:24" x14ac:dyDescent="0.35">
      <c r="A113" t="s">
        <v>61</v>
      </c>
      <c r="B113" s="57">
        <f>[4]Base!$T$114</f>
        <v>24549</v>
      </c>
      <c r="I113" t="s">
        <v>57</v>
      </c>
      <c r="J113" s="7">
        <f>[4]Multi!$U$19</f>
        <v>3810.0000000000005</v>
      </c>
      <c r="T113" s="21">
        <v>1</v>
      </c>
      <c r="U113" s="22">
        <v>32709</v>
      </c>
      <c r="V113" s="58">
        <v>1088</v>
      </c>
      <c r="W113" s="58">
        <v>273</v>
      </c>
      <c r="X113" s="29">
        <v>1088</v>
      </c>
    </row>
    <row r="114" spans="1:24" x14ac:dyDescent="0.35">
      <c r="T114" s="31">
        <v>2</v>
      </c>
      <c r="U114" s="22"/>
      <c r="V114" s="22">
        <f>T114*V$113</f>
        <v>2176</v>
      </c>
      <c r="W114" s="22">
        <f>T114*W$113</f>
        <v>546</v>
      </c>
      <c r="X114" s="22">
        <f>T114*X$113</f>
        <v>2176</v>
      </c>
    </row>
    <row r="115" spans="1:24" x14ac:dyDescent="0.35">
      <c r="A115" s="138" t="s">
        <v>155</v>
      </c>
      <c r="B115" s="57">
        <f>[4]Base!U114</f>
        <v>25391</v>
      </c>
      <c r="I115" t="s">
        <v>57</v>
      </c>
      <c r="J115" s="7">
        <f>[4]Multi!V19</f>
        <v>3941</v>
      </c>
      <c r="T115" s="31">
        <v>3</v>
      </c>
      <c r="U115" s="22"/>
      <c r="V115" s="22">
        <f t="shared" ref="V115:V178" si="4">T115*V$113</f>
        <v>3264</v>
      </c>
      <c r="W115" s="22">
        <f t="shared" ref="W115:W178" si="5">T115*W$113</f>
        <v>819</v>
      </c>
      <c r="X115" s="22">
        <f t="shared" ref="X115:X178" si="6">T115*X$113</f>
        <v>3264</v>
      </c>
    </row>
    <row r="116" spans="1:24" x14ac:dyDescent="0.35">
      <c r="A116" t="s">
        <v>167</v>
      </c>
      <c r="B116" s="57">
        <v>26148</v>
      </c>
      <c r="I116" t="s">
        <v>57</v>
      </c>
      <c r="J116" s="7">
        <v>4058</v>
      </c>
      <c r="T116" s="31">
        <v>4</v>
      </c>
      <c r="U116" s="22"/>
      <c r="V116" s="22">
        <f t="shared" si="4"/>
        <v>4352</v>
      </c>
      <c r="W116" s="22">
        <f t="shared" si="5"/>
        <v>1092</v>
      </c>
      <c r="X116" s="22">
        <f t="shared" si="6"/>
        <v>4352</v>
      </c>
    </row>
    <row r="117" spans="1:24" x14ac:dyDescent="0.35">
      <c r="A117" s="138"/>
      <c r="T117" s="31">
        <v>5</v>
      </c>
      <c r="U117" s="22"/>
      <c r="V117" s="22">
        <f t="shared" si="4"/>
        <v>5440</v>
      </c>
      <c r="W117" s="22">
        <f t="shared" si="5"/>
        <v>1365</v>
      </c>
      <c r="X117" s="22">
        <f t="shared" si="6"/>
        <v>5440</v>
      </c>
    </row>
    <row r="118" spans="1:24" x14ac:dyDescent="0.35">
      <c r="A118" s="138"/>
      <c r="D118" s="6"/>
      <c r="T118" s="31">
        <v>6</v>
      </c>
      <c r="U118" s="22"/>
      <c r="V118" s="22">
        <f t="shared" si="4"/>
        <v>6528</v>
      </c>
      <c r="W118" s="22">
        <f t="shared" si="5"/>
        <v>1638</v>
      </c>
      <c r="X118" s="22">
        <f t="shared" si="6"/>
        <v>6528</v>
      </c>
    </row>
    <row r="119" spans="1:24" x14ac:dyDescent="0.35">
      <c r="A119" s="138"/>
      <c r="T119" s="31">
        <v>7</v>
      </c>
      <c r="U119" s="22"/>
      <c r="V119" s="22">
        <f t="shared" si="4"/>
        <v>7616</v>
      </c>
      <c r="W119" s="22">
        <f t="shared" si="5"/>
        <v>1911</v>
      </c>
      <c r="X119" s="22">
        <f t="shared" si="6"/>
        <v>7616</v>
      </c>
    </row>
    <row r="120" spans="1:24" x14ac:dyDescent="0.35">
      <c r="A120" s="138"/>
      <c r="T120" s="31">
        <v>8</v>
      </c>
      <c r="U120" s="22"/>
      <c r="V120" s="22">
        <f t="shared" si="4"/>
        <v>8704</v>
      </c>
      <c r="W120" s="22">
        <f t="shared" si="5"/>
        <v>2184</v>
      </c>
      <c r="X120" s="22">
        <f t="shared" si="6"/>
        <v>8704</v>
      </c>
    </row>
    <row r="121" spans="1:24" x14ac:dyDescent="0.35">
      <c r="A121" s="138"/>
      <c r="T121" s="31">
        <v>9</v>
      </c>
      <c r="U121" s="22"/>
      <c r="V121" s="22">
        <f t="shared" si="4"/>
        <v>9792</v>
      </c>
      <c r="W121" s="22">
        <f t="shared" si="5"/>
        <v>2457</v>
      </c>
      <c r="X121" s="22">
        <f t="shared" si="6"/>
        <v>9792</v>
      </c>
    </row>
    <row r="122" spans="1:24" x14ac:dyDescent="0.35">
      <c r="A122" s="138"/>
      <c r="D122" s="33"/>
      <c r="T122" s="31">
        <v>10</v>
      </c>
      <c r="U122" s="22"/>
      <c r="V122" s="22">
        <f t="shared" si="4"/>
        <v>10880</v>
      </c>
      <c r="W122" s="22">
        <f t="shared" si="5"/>
        <v>2730</v>
      </c>
      <c r="X122" s="22">
        <f t="shared" si="6"/>
        <v>10880</v>
      </c>
    </row>
    <row r="123" spans="1:24" x14ac:dyDescent="0.35">
      <c r="T123" s="31">
        <v>11</v>
      </c>
      <c r="U123" s="22"/>
      <c r="V123" s="22">
        <f t="shared" si="4"/>
        <v>11968</v>
      </c>
      <c r="W123" s="22">
        <f t="shared" si="5"/>
        <v>3003</v>
      </c>
      <c r="X123" s="22">
        <f t="shared" si="6"/>
        <v>11968</v>
      </c>
    </row>
    <row r="124" spans="1:24" x14ac:dyDescent="0.35">
      <c r="A124" s="1"/>
      <c r="D124" s="59"/>
      <c r="T124" s="31">
        <v>12</v>
      </c>
      <c r="U124" s="22"/>
      <c r="V124" s="22">
        <f t="shared" si="4"/>
        <v>13056</v>
      </c>
      <c r="W124" s="22">
        <f t="shared" si="5"/>
        <v>3276</v>
      </c>
      <c r="X124" s="22">
        <f t="shared" si="6"/>
        <v>13056</v>
      </c>
    </row>
    <row r="125" spans="1:24" x14ac:dyDescent="0.35">
      <c r="T125" s="31">
        <v>13</v>
      </c>
      <c r="U125" s="22"/>
      <c r="V125" s="22">
        <f t="shared" si="4"/>
        <v>14144</v>
      </c>
      <c r="W125" s="22">
        <f t="shared" si="5"/>
        <v>3549</v>
      </c>
      <c r="X125" s="22">
        <f t="shared" si="6"/>
        <v>14144</v>
      </c>
    </row>
    <row r="126" spans="1:24" x14ac:dyDescent="0.35">
      <c r="A126" s="1"/>
      <c r="T126" s="31">
        <v>14</v>
      </c>
      <c r="U126" s="22"/>
      <c r="V126" s="22">
        <f t="shared" si="4"/>
        <v>15232</v>
      </c>
      <c r="W126" s="22">
        <f t="shared" si="5"/>
        <v>3822</v>
      </c>
      <c r="X126" s="22">
        <f t="shared" si="6"/>
        <v>15232</v>
      </c>
    </row>
    <row r="127" spans="1:24" x14ac:dyDescent="0.35">
      <c r="T127" s="31">
        <v>15</v>
      </c>
      <c r="U127" s="22"/>
      <c r="V127" s="22">
        <f t="shared" si="4"/>
        <v>16320</v>
      </c>
      <c r="W127" s="22">
        <f t="shared" si="5"/>
        <v>4095</v>
      </c>
      <c r="X127" s="22">
        <f t="shared" si="6"/>
        <v>16320</v>
      </c>
    </row>
    <row r="128" spans="1:24" x14ac:dyDescent="0.35">
      <c r="A128" s="138"/>
      <c r="T128" s="31">
        <v>16</v>
      </c>
      <c r="U128" s="22"/>
      <c r="V128" s="22">
        <f t="shared" si="4"/>
        <v>17408</v>
      </c>
      <c r="W128" s="22">
        <f t="shared" si="5"/>
        <v>4368</v>
      </c>
      <c r="X128" s="22">
        <f t="shared" si="6"/>
        <v>17408</v>
      </c>
    </row>
    <row r="129" spans="1:24" x14ac:dyDescent="0.35">
      <c r="T129" s="31">
        <v>17</v>
      </c>
      <c r="U129" s="22"/>
      <c r="V129" s="22">
        <f t="shared" si="4"/>
        <v>18496</v>
      </c>
      <c r="W129" s="22">
        <f t="shared" si="5"/>
        <v>4641</v>
      </c>
      <c r="X129" s="22">
        <f t="shared" si="6"/>
        <v>18496</v>
      </c>
    </row>
    <row r="130" spans="1:24" x14ac:dyDescent="0.35">
      <c r="A130" s="138"/>
      <c r="T130" s="31">
        <v>18</v>
      </c>
      <c r="U130" s="22"/>
      <c r="V130" s="22">
        <f t="shared" si="4"/>
        <v>19584</v>
      </c>
      <c r="W130" s="22">
        <f t="shared" si="5"/>
        <v>4914</v>
      </c>
      <c r="X130" s="22">
        <f t="shared" si="6"/>
        <v>19584</v>
      </c>
    </row>
    <row r="131" spans="1:24" x14ac:dyDescent="0.35">
      <c r="A131" s="138"/>
      <c r="D131" s="6"/>
      <c r="T131" s="31">
        <v>19</v>
      </c>
      <c r="U131" s="22"/>
      <c r="V131" s="22">
        <f t="shared" si="4"/>
        <v>20672</v>
      </c>
      <c r="W131" s="22">
        <f t="shared" si="5"/>
        <v>5187</v>
      </c>
      <c r="X131" s="22">
        <f t="shared" si="6"/>
        <v>20672</v>
      </c>
    </row>
    <row r="132" spans="1:24" x14ac:dyDescent="0.35">
      <c r="A132" s="138"/>
      <c r="T132" s="24">
        <v>20</v>
      </c>
      <c r="U132" s="22"/>
      <c r="V132" s="22">
        <f t="shared" si="4"/>
        <v>21760</v>
      </c>
      <c r="W132" s="22">
        <f t="shared" si="5"/>
        <v>5460</v>
      </c>
      <c r="X132" s="22">
        <f t="shared" si="6"/>
        <v>21760</v>
      </c>
    </row>
    <row r="133" spans="1:24" x14ac:dyDescent="0.35">
      <c r="A133" s="138"/>
      <c r="T133" s="24">
        <v>21</v>
      </c>
      <c r="U133" s="22"/>
      <c r="V133" s="22">
        <f t="shared" si="4"/>
        <v>22848</v>
      </c>
      <c r="W133" s="22">
        <f t="shared" si="5"/>
        <v>5733</v>
      </c>
      <c r="X133" s="22">
        <f t="shared" si="6"/>
        <v>22848</v>
      </c>
    </row>
    <row r="134" spans="1:24" x14ac:dyDescent="0.35">
      <c r="A134" s="138"/>
      <c r="T134" s="24">
        <v>22</v>
      </c>
      <c r="U134" s="22"/>
      <c r="V134" s="22">
        <f t="shared" si="4"/>
        <v>23936</v>
      </c>
      <c r="W134" s="22">
        <f t="shared" si="5"/>
        <v>6006</v>
      </c>
      <c r="X134" s="22">
        <f t="shared" si="6"/>
        <v>23936</v>
      </c>
    </row>
    <row r="135" spans="1:24" x14ac:dyDescent="0.35">
      <c r="A135" s="138"/>
      <c r="D135" s="33"/>
      <c r="T135" s="24">
        <v>23</v>
      </c>
      <c r="U135" s="22"/>
      <c r="V135" s="22">
        <f t="shared" si="4"/>
        <v>25024</v>
      </c>
      <c r="W135" s="22">
        <f t="shared" si="5"/>
        <v>6279</v>
      </c>
      <c r="X135" s="22">
        <f t="shared" si="6"/>
        <v>25024</v>
      </c>
    </row>
    <row r="136" spans="1:24" x14ac:dyDescent="0.35">
      <c r="T136" s="24">
        <v>24</v>
      </c>
      <c r="U136" s="22"/>
      <c r="V136" s="22">
        <f t="shared" si="4"/>
        <v>26112</v>
      </c>
      <c r="W136" s="22">
        <f t="shared" si="5"/>
        <v>6552</v>
      </c>
      <c r="X136" s="22">
        <f t="shared" si="6"/>
        <v>26112</v>
      </c>
    </row>
    <row r="137" spans="1:24" x14ac:dyDescent="0.35">
      <c r="A137" s="1"/>
      <c r="D137" s="59"/>
      <c r="T137" s="24">
        <v>25</v>
      </c>
      <c r="U137" s="22"/>
      <c r="V137" s="22">
        <f t="shared" si="4"/>
        <v>27200</v>
      </c>
      <c r="W137" s="22">
        <f t="shared" si="5"/>
        <v>6825</v>
      </c>
      <c r="X137" s="22">
        <f t="shared" si="6"/>
        <v>27200</v>
      </c>
    </row>
    <row r="138" spans="1:24" x14ac:dyDescent="0.35">
      <c r="T138" s="24">
        <v>26</v>
      </c>
      <c r="U138" s="22"/>
      <c r="V138" s="22">
        <f t="shared" si="4"/>
        <v>28288</v>
      </c>
      <c r="W138" s="22">
        <f t="shared" si="5"/>
        <v>7098</v>
      </c>
      <c r="X138" s="22">
        <f t="shared" si="6"/>
        <v>28288</v>
      </c>
    </row>
    <row r="139" spans="1:24" x14ac:dyDescent="0.35">
      <c r="T139" s="24">
        <v>27</v>
      </c>
      <c r="U139" s="22"/>
      <c r="V139" s="22">
        <f t="shared" si="4"/>
        <v>29376</v>
      </c>
      <c r="W139" s="22">
        <f t="shared" si="5"/>
        <v>7371</v>
      </c>
      <c r="X139" s="22">
        <f t="shared" si="6"/>
        <v>29376</v>
      </c>
    </row>
    <row r="140" spans="1:24" x14ac:dyDescent="0.35">
      <c r="T140" s="24">
        <v>28</v>
      </c>
      <c r="U140" s="22"/>
      <c r="V140" s="22">
        <f t="shared" si="4"/>
        <v>30464</v>
      </c>
      <c r="W140" s="22">
        <f t="shared" si="5"/>
        <v>7644</v>
      </c>
      <c r="X140" s="22">
        <f t="shared" si="6"/>
        <v>30464</v>
      </c>
    </row>
    <row r="141" spans="1:24" x14ac:dyDescent="0.35">
      <c r="T141" s="24">
        <v>29</v>
      </c>
      <c r="U141" s="22"/>
      <c r="V141" s="22">
        <f t="shared" si="4"/>
        <v>31552</v>
      </c>
      <c r="W141" s="22">
        <f t="shared" si="5"/>
        <v>7917</v>
      </c>
      <c r="X141" s="22">
        <f t="shared" si="6"/>
        <v>31552</v>
      </c>
    </row>
    <row r="142" spans="1:24" x14ac:dyDescent="0.35">
      <c r="T142" s="24">
        <v>30</v>
      </c>
      <c r="U142" s="22"/>
      <c r="V142" s="22">
        <f t="shared" si="4"/>
        <v>32640</v>
      </c>
      <c r="W142" s="22">
        <f t="shared" si="5"/>
        <v>8190</v>
      </c>
      <c r="X142" s="22">
        <f t="shared" si="6"/>
        <v>32640</v>
      </c>
    </row>
    <row r="143" spans="1:24" x14ac:dyDescent="0.35">
      <c r="T143" s="24">
        <v>31</v>
      </c>
      <c r="U143" s="22"/>
      <c r="V143" s="22">
        <f t="shared" si="4"/>
        <v>33728</v>
      </c>
      <c r="W143" s="22">
        <f t="shared" si="5"/>
        <v>8463</v>
      </c>
      <c r="X143" s="22">
        <f t="shared" si="6"/>
        <v>33728</v>
      </c>
    </row>
    <row r="144" spans="1:24" x14ac:dyDescent="0.35">
      <c r="T144" s="24">
        <v>32</v>
      </c>
      <c r="U144" s="22"/>
      <c r="V144" s="22">
        <f t="shared" si="4"/>
        <v>34816</v>
      </c>
      <c r="W144" s="22">
        <f t="shared" si="5"/>
        <v>8736</v>
      </c>
      <c r="X144" s="22">
        <f t="shared" si="6"/>
        <v>34816</v>
      </c>
    </row>
    <row r="145" spans="20:24" x14ac:dyDescent="0.35">
      <c r="T145" s="24">
        <v>33</v>
      </c>
      <c r="U145" s="22"/>
      <c r="V145" s="22">
        <f t="shared" si="4"/>
        <v>35904</v>
      </c>
      <c r="W145" s="22">
        <f t="shared" si="5"/>
        <v>9009</v>
      </c>
      <c r="X145" s="22">
        <f t="shared" si="6"/>
        <v>35904</v>
      </c>
    </row>
    <row r="146" spans="20:24" x14ac:dyDescent="0.35">
      <c r="T146" s="24">
        <v>34</v>
      </c>
      <c r="U146" s="22"/>
      <c r="V146" s="22">
        <f t="shared" si="4"/>
        <v>36992</v>
      </c>
      <c r="W146" s="22">
        <f t="shared" si="5"/>
        <v>9282</v>
      </c>
      <c r="X146" s="22">
        <f t="shared" si="6"/>
        <v>36992</v>
      </c>
    </row>
    <row r="147" spans="20:24" x14ac:dyDescent="0.35">
      <c r="T147" s="24">
        <v>35</v>
      </c>
      <c r="U147" s="22"/>
      <c r="V147" s="22">
        <f t="shared" si="4"/>
        <v>38080</v>
      </c>
      <c r="W147" s="22">
        <f t="shared" si="5"/>
        <v>9555</v>
      </c>
      <c r="X147" s="22">
        <f t="shared" si="6"/>
        <v>38080</v>
      </c>
    </row>
    <row r="148" spans="20:24" x14ac:dyDescent="0.35">
      <c r="T148" s="24">
        <v>36</v>
      </c>
      <c r="U148" s="22"/>
      <c r="V148" s="22">
        <f t="shared" si="4"/>
        <v>39168</v>
      </c>
      <c r="W148" s="22">
        <f t="shared" si="5"/>
        <v>9828</v>
      </c>
      <c r="X148" s="22">
        <f t="shared" si="6"/>
        <v>39168</v>
      </c>
    </row>
    <row r="149" spans="20:24" x14ac:dyDescent="0.35">
      <c r="T149" s="24">
        <v>37</v>
      </c>
      <c r="U149" s="22"/>
      <c r="V149" s="22">
        <f t="shared" si="4"/>
        <v>40256</v>
      </c>
      <c r="W149" s="22">
        <f t="shared" si="5"/>
        <v>10101</v>
      </c>
      <c r="X149" s="22">
        <f t="shared" si="6"/>
        <v>40256</v>
      </c>
    </row>
    <row r="150" spans="20:24" x14ac:dyDescent="0.35">
      <c r="T150" s="24">
        <v>38</v>
      </c>
      <c r="U150" s="22"/>
      <c r="V150" s="22">
        <f t="shared" si="4"/>
        <v>41344</v>
      </c>
      <c r="W150" s="22">
        <f t="shared" si="5"/>
        <v>10374</v>
      </c>
      <c r="X150" s="22">
        <f t="shared" si="6"/>
        <v>41344</v>
      </c>
    </row>
    <row r="151" spans="20:24" x14ac:dyDescent="0.35">
      <c r="T151" s="24">
        <v>39</v>
      </c>
      <c r="U151" s="22"/>
      <c r="V151" s="22">
        <f t="shared" si="4"/>
        <v>42432</v>
      </c>
      <c r="W151" s="22">
        <f t="shared" si="5"/>
        <v>10647</v>
      </c>
      <c r="X151" s="22">
        <f t="shared" si="6"/>
        <v>42432</v>
      </c>
    </row>
    <row r="152" spans="20:24" x14ac:dyDescent="0.35">
      <c r="T152" s="24">
        <v>40</v>
      </c>
      <c r="U152" s="22"/>
      <c r="V152" s="22">
        <f t="shared" si="4"/>
        <v>43520</v>
      </c>
      <c r="W152" s="22">
        <f t="shared" si="5"/>
        <v>10920</v>
      </c>
      <c r="X152" s="22">
        <f t="shared" si="6"/>
        <v>43520</v>
      </c>
    </row>
    <row r="153" spans="20:24" x14ac:dyDescent="0.35">
      <c r="T153" s="24">
        <v>41</v>
      </c>
      <c r="U153" s="22"/>
      <c r="V153" s="22">
        <f t="shared" si="4"/>
        <v>44608</v>
      </c>
      <c r="W153" s="22">
        <f t="shared" si="5"/>
        <v>11193</v>
      </c>
      <c r="X153" s="22">
        <f t="shared" si="6"/>
        <v>44608</v>
      </c>
    </row>
    <row r="154" spans="20:24" x14ac:dyDescent="0.35">
      <c r="T154" s="24">
        <v>42</v>
      </c>
      <c r="U154" s="22"/>
      <c r="V154" s="22">
        <f t="shared" si="4"/>
        <v>45696</v>
      </c>
      <c r="W154" s="22">
        <f t="shared" si="5"/>
        <v>11466</v>
      </c>
      <c r="X154" s="22">
        <f t="shared" si="6"/>
        <v>45696</v>
      </c>
    </row>
    <row r="155" spans="20:24" x14ac:dyDescent="0.35">
      <c r="T155" s="24">
        <v>43</v>
      </c>
      <c r="U155" s="22"/>
      <c r="V155" s="22">
        <f t="shared" si="4"/>
        <v>46784</v>
      </c>
      <c r="W155" s="22">
        <f t="shared" si="5"/>
        <v>11739</v>
      </c>
      <c r="X155" s="22">
        <f t="shared" si="6"/>
        <v>46784</v>
      </c>
    </row>
    <row r="156" spans="20:24" x14ac:dyDescent="0.35">
      <c r="T156" s="24">
        <v>44</v>
      </c>
      <c r="U156" s="22"/>
      <c r="V156" s="22">
        <f t="shared" si="4"/>
        <v>47872</v>
      </c>
      <c r="W156" s="22">
        <f t="shared" si="5"/>
        <v>12012</v>
      </c>
      <c r="X156" s="22">
        <f t="shared" si="6"/>
        <v>47872</v>
      </c>
    </row>
    <row r="157" spans="20:24" x14ac:dyDescent="0.35">
      <c r="T157" s="24">
        <v>45</v>
      </c>
      <c r="U157" s="22"/>
      <c r="V157" s="22">
        <f t="shared" si="4"/>
        <v>48960</v>
      </c>
      <c r="W157" s="22">
        <f t="shared" si="5"/>
        <v>12285</v>
      </c>
      <c r="X157" s="22">
        <f t="shared" si="6"/>
        <v>48960</v>
      </c>
    </row>
    <row r="158" spans="20:24" x14ac:dyDescent="0.35">
      <c r="T158" s="24">
        <v>46</v>
      </c>
      <c r="U158" s="22"/>
      <c r="V158" s="22">
        <f t="shared" si="4"/>
        <v>50048</v>
      </c>
      <c r="W158" s="22">
        <f t="shared" si="5"/>
        <v>12558</v>
      </c>
      <c r="X158" s="22">
        <f t="shared" si="6"/>
        <v>50048</v>
      </c>
    </row>
    <row r="159" spans="20:24" x14ac:dyDescent="0.35">
      <c r="T159" s="24">
        <v>47</v>
      </c>
      <c r="U159" s="22"/>
      <c r="V159" s="22">
        <f t="shared" si="4"/>
        <v>51136</v>
      </c>
      <c r="W159" s="22">
        <f t="shared" si="5"/>
        <v>12831</v>
      </c>
      <c r="X159" s="22">
        <f t="shared" si="6"/>
        <v>51136</v>
      </c>
    </row>
    <row r="160" spans="20:24" x14ac:dyDescent="0.35">
      <c r="T160" s="24">
        <v>48</v>
      </c>
      <c r="U160" s="22"/>
      <c r="V160" s="22">
        <f t="shared" si="4"/>
        <v>52224</v>
      </c>
      <c r="W160" s="22">
        <f t="shared" si="5"/>
        <v>13104</v>
      </c>
      <c r="X160" s="22">
        <f t="shared" si="6"/>
        <v>52224</v>
      </c>
    </row>
    <row r="161" spans="20:24" x14ac:dyDescent="0.35">
      <c r="T161" s="24">
        <v>49</v>
      </c>
      <c r="U161" s="22"/>
      <c r="V161" s="22">
        <f t="shared" si="4"/>
        <v>53312</v>
      </c>
      <c r="W161" s="22">
        <f t="shared" si="5"/>
        <v>13377</v>
      </c>
      <c r="X161" s="22">
        <f t="shared" si="6"/>
        <v>53312</v>
      </c>
    </row>
    <row r="162" spans="20:24" x14ac:dyDescent="0.35">
      <c r="T162" s="24">
        <v>50</v>
      </c>
      <c r="U162" s="22"/>
      <c r="V162" s="22">
        <f t="shared" si="4"/>
        <v>54400</v>
      </c>
      <c r="W162" s="22">
        <f t="shared" si="5"/>
        <v>13650</v>
      </c>
      <c r="X162" s="22">
        <f t="shared" si="6"/>
        <v>54400</v>
      </c>
    </row>
    <row r="163" spans="20:24" x14ac:dyDescent="0.35">
      <c r="T163" s="24">
        <v>51</v>
      </c>
      <c r="U163" s="22"/>
      <c r="V163" s="22">
        <f t="shared" si="4"/>
        <v>55488</v>
      </c>
      <c r="W163" s="22">
        <f t="shared" si="5"/>
        <v>13923</v>
      </c>
      <c r="X163" s="22">
        <f t="shared" si="6"/>
        <v>55488</v>
      </c>
    </row>
    <row r="164" spans="20:24" x14ac:dyDescent="0.35">
      <c r="T164" s="24">
        <v>52</v>
      </c>
      <c r="U164" s="22"/>
      <c r="V164" s="22">
        <f t="shared" si="4"/>
        <v>56576</v>
      </c>
      <c r="W164" s="22">
        <f t="shared" si="5"/>
        <v>14196</v>
      </c>
      <c r="X164" s="22">
        <f t="shared" si="6"/>
        <v>56576</v>
      </c>
    </row>
    <row r="165" spans="20:24" x14ac:dyDescent="0.35">
      <c r="T165" s="24">
        <v>53</v>
      </c>
      <c r="U165" s="22"/>
      <c r="V165" s="22">
        <f t="shared" si="4"/>
        <v>57664</v>
      </c>
      <c r="W165" s="22">
        <f t="shared" si="5"/>
        <v>14469</v>
      </c>
      <c r="X165" s="22">
        <f t="shared" si="6"/>
        <v>57664</v>
      </c>
    </row>
    <row r="166" spans="20:24" x14ac:dyDescent="0.35">
      <c r="T166" s="24">
        <v>54</v>
      </c>
      <c r="U166" s="22"/>
      <c r="V166" s="22">
        <f t="shared" si="4"/>
        <v>58752</v>
      </c>
      <c r="W166" s="22">
        <f t="shared" si="5"/>
        <v>14742</v>
      </c>
      <c r="X166" s="22">
        <f t="shared" si="6"/>
        <v>58752</v>
      </c>
    </row>
    <row r="167" spans="20:24" x14ac:dyDescent="0.35">
      <c r="T167" s="24">
        <v>55</v>
      </c>
      <c r="U167" s="22"/>
      <c r="V167" s="22">
        <f t="shared" si="4"/>
        <v>59840</v>
      </c>
      <c r="W167" s="22">
        <f t="shared" si="5"/>
        <v>15015</v>
      </c>
      <c r="X167" s="22">
        <f t="shared" si="6"/>
        <v>59840</v>
      </c>
    </row>
    <row r="168" spans="20:24" x14ac:dyDescent="0.35">
      <c r="T168" s="24">
        <v>56</v>
      </c>
      <c r="U168" s="22"/>
      <c r="V168" s="22">
        <f t="shared" si="4"/>
        <v>60928</v>
      </c>
      <c r="W168" s="22">
        <f t="shared" si="5"/>
        <v>15288</v>
      </c>
      <c r="X168" s="22">
        <f t="shared" si="6"/>
        <v>60928</v>
      </c>
    </row>
    <row r="169" spans="20:24" x14ac:dyDescent="0.35">
      <c r="T169" s="24">
        <v>57</v>
      </c>
      <c r="U169" s="22"/>
      <c r="V169" s="22">
        <f t="shared" si="4"/>
        <v>62016</v>
      </c>
      <c r="W169" s="22">
        <f t="shared" si="5"/>
        <v>15561</v>
      </c>
      <c r="X169" s="22">
        <f t="shared" si="6"/>
        <v>62016</v>
      </c>
    </row>
    <row r="170" spans="20:24" x14ac:dyDescent="0.35">
      <c r="T170" s="24">
        <v>58</v>
      </c>
      <c r="U170" s="22"/>
      <c r="V170" s="22">
        <f t="shared" si="4"/>
        <v>63104</v>
      </c>
      <c r="W170" s="22">
        <f t="shared" si="5"/>
        <v>15834</v>
      </c>
      <c r="X170" s="22">
        <f t="shared" si="6"/>
        <v>63104</v>
      </c>
    </row>
    <row r="171" spans="20:24" x14ac:dyDescent="0.35">
      <c r="T171" s="24">
        <v>59</v>
      </c>
      <c r="U171" s="22"/>
      <c r="V171" s="22">
        <f t="shared" si="4"/>
        <v>64192</v>
      </c>
      <c r="W171" s="22">
        <f t="shared" si="5"/>
        <v>16107</v>
      </c>
      <c r="X171" s="22">
        <f t="shared" si="6"/>
        <v>64192</v>
      </c>
    </row>
    <row r="172" spans="20:24" x14ac:dyDescent="0.35">
      <c r="T172" s="24">
        <v>60</v>
      </c>
      <c r="U172" s="22"/>
      <c r="V172" s="22">
        <f t="shared" si="4"/>
        <v>65280</v>
      </c>
      <c r="W172" s="22">
        <f t="shared" si="5"/>
        <v>16380</v>
      </c>
      <c r="X172" s="22">
        <f t="shared" si="6"/>
        <v>65280</v>
      </c>
    </row>
    <row r="173" spans="20:24" x14ac:dyDescent="0.35">
      <c r="T173" s="24">
        <v>61</v>
      </c>
      <c r="U173" s="22"/>
      <c r="V173" s="22">
        <f t="shared" si="4"/>
        <v>66368</v>
      </c>
      <c r="W173" s="22">
        <f t="shared" si="5"/>
        <v>16653</v>
      </c>
      <c r="X173" s="22">
        <f t="shared" si="6"/>
        <v>66368</v>
      </c>
    </row>
    <row r="174" spans="20:24" x14ac:dyDescent="0.35">
      <c r="T174" s="24">
        <v>62</v>
      </c>
      <c r="U174" s="22"/>
      <c r="V174" s="22">
        <f t="shared" si="4"/>
        <v>67456</v>
      </c>
      <c r="W174" s="22">
        <f t="shared" si="5"/>
        <v>16926</v>
      </c>
      <c r="X174" s="22">
        <f t="shared" si="6"/>
        <v>67456</v>
      </c>
    </row>
    <row r="175" spans="20:24" x14ac:dyDescent="0.35">
      <c r="T175" s="24">
        <v>63</v>
      </c>
      <c r="U175" s="22"/>
      <c r="V175" s="22">
        <f t="shared" si="4"/>
        <v>68544</v>
      </c>
      <c r="W175" s="22">
        <f t="shared" si="5"/>
        <v>17199</v>
      </c>
      <c r="X175" s="22">
        <f t="shared" si="6"/>
        <v>68544</v>
      </c>
    </row>
    <row r="176" spans="20:24" x14ac:dyDescent="0.35">
      <c r="T176" s="24">
        <v>64</v>
      </c>
      <c r="U176" s="22"/>
      <c r="V176" s="22">
        <f t="shared" si="4"/>
        <v>69632</v>
      </c>
      <c r="W176" s="22">
        <f t="shared" si="5"/>
        <v>17472</v>
      </c>
      <c r="X176" s="22">
        <f t="shared" si="6"/>
        <v>69632</v>
      </c>
    </row>
    <row r="177" spans="20:24" x14ac:dyDescent="0.35">
      <c r="T177" s="24">
        <v>65</v>
      </c>
      <c r="U177" s="22"/>
      <c r="V177" s="22">
        <f t="shared" si="4"/>
        <v>70720</v>
      </c>
      <c r="W177" s="22">
        <f t="shared" si="5"/>
        <v>17745</v>
      </c>
      <c r="X177" s="22">
        <f t="shared" si="6"/>
        <v>70720</v>
      </c>
    </row>
    <row r="178" spans="20:24" x14ac:dyDescent="0.35">
      <c r="T178" s="24">
        <v>66</v>
      </c>
      <c r="U178" s="22"/>
      <c r="V178" s="22">
        <f t="shared" si="4"/>
        <v>71808</v>
      </c>
      <c r="W178" s="22">
        <f t="shared" si="5"/>
        <v>18018</v>
      </c>
      <c r="X178" s="22">
        <f t="shared" si="6"/>
        <v>71808</v>
      </c>
    </row>
    <row r="179" spans="20:24" x14ac:dyDescent="0.35">
      <c r="T179" s="24">
        <v>67</v>
      </c>
      <c r="U179" s="22"/>
      <c r="V179" s="22">
        <f t="shared" ref="V179:V212" si="7">T179*V$113</f>
        <v>72896</v>
      </c>
      <c r="W179" s="22">
        <f t="shared" ref="W179:W212" si="8">T179*W$113</f>
        <v>18291</v>
      </c>
      <c r="X179" s="22">
        <f t="shared" ref="X179:X212" si="9">T179*X$113</f>
        <v>72896</v>
      </c>
    </row>
    <row r="180" spans="20:24" x14ac:dyDescent="0.35">
      <c r="T180" s="24">
        <v>68</v>
      </c>
      <c r="U180" s="22"/>
      <c r="V180" s="22">
        <f t="shared" si="7"/>
        <v>73984</v>
      </c>
      <c r="W180" s="22">
        <f t="shared" si="8"/>
        <v>18564</v>
      </c>
      <c r="X180" s="22">
        <f t="shared" si="9"/>
        <v>73984</v>
      </c>
    </row>
    <row r="181" spans="20:24" x14ac:dyDescent="0.35">
      <c r="T181" s="24">
        <v>69</v>
      </c>
      <c r="U181" s="22"/>
      <c r="V181" s="22">
        <f t="shared" si="7"/>
        <v>75072</v>
      </c>
      <c r="W181" s="22">
        <f t="shared" si="8"/>
        <v>18837</v>
      </c>
      <c r="X181" s="22">
        <f t="shared" si="9"/>
        <v>75072</v>
      </c>
    </row>
    <row r="182" spans="20:24" x14ac:dyDescent="0.35">
      <c r="T182" s="24">
        <v>70</v>
      </c>
      <c r="U182" s="22"/>
      <c r="V182" s="22">
        <f t="shared" si="7"/>
        <v>76160</v>
      </c>
      <c r="W182" s="22">
        <f t="shared" si="8"/>
        <v>19110</v>
      </c>
      <c r="X182" s="22">
        <f t="shared" si="9"/>
        <v>76160</v>
      </c>
    </row>
    <row r="183" spans="20:24" x14ac:dyDescent="0.35">
      <c r="T183" s="24">
        <v>71</v>
      </c>
      <c r="U183" s="22"/>
      <c r="V183" s="22">
        <f t="shared" si="7"/>
        <v>77248</v>
      </c>
      <c r="W183" s="22">
        <f t="shared" si="8"/>
        <v>19383</v>
      </c>
      <c r="X183" s="22">
        <f t="shared" si="9"/>
        <v>77248</v>
      </c>
    </row>
    <row r="184" spans="20:24" x14ac:dyDescent="0.35">
      <c r="T184" s="24">
        <v>72</v>
      </c>
      <c r="U184" s="22"/>
      <c r="V184" s="22">
        <f t="shared" si="7"/>
        <v>78336</v>
      </c>
      <c r="W184" s="22">
        <f t="shared" si="8"/>
        <v>19656</v>
      </c>
      <c r="X184" s="22">
        <f t="shared" si="9"/>
        <v>78336</v>
      </c>
    </row>
    <row r="185" spans="20:24" x14ac:dyDescent="0.35">
      <c r="T185" s="24">
        <v>73</v>
      </c>
      <c r="U185" s="22"/>
      <c r="V185" s="22">
        <f t="shared" si="7"/>
        <v>79424</v>
      </c>
      <c r="W185" s="22">
        <f t="shared" si="8"/>
        <v>19929</v>
      </c>
      <c r="X185" s="22">
        <f t="shared" si="9"/>
        <v>79424</v>
      </c>
    </row>
    <row r="186" spans="20:24" x14ac:dyDescent="0.35">
      <c r="T186" s="24">
        <v>74</v>
      </c>
      <c r="U186" s="22"/>
      <c r="V186" s="22">
        <f t="shared" si="7"/>
        <v>80512</v>
      </c>
      <c r="W186" s="22">
        <f t="shared" si="8"/>
        <v>20202</v>
      </c>
      <c r="X186" s="22">
        <f t="shared" si="9"/>
        <v>80512</v>
      </c>
    </row>
    <row r="187" spans="20:24" x14ac:dyDescent="0.35">
      <c r="T187" s="24">
        <v>75</v>
      </c>
      <c r="U187" s="22"/>
      <c r="V187" s="22">
        <f t="shared" si="7"/>
        <v>81600</v>
      </c>
      <c r="W187" s="22">
        <f t="shared" si="8"/>
        <v>20475</v>
      </c>
      <c r="X187" s="22">
        <f t="shared" si="9"/>
        <v>81600</v>
      </c>
    </row>
    <row r="188" spans="20:24" x14ac:dyDescent="0.35">
      <c r="T188" s="24">
        <v>76</v>
      </c>
      <c r="U188" s="22"/>
      <c r="V188" s="22">
        <f t="shared" si="7"/>
        <v>82688</v>
      </c>
      <c r="W188" s="22">
        <f t="shared" si="8"/>
        <v>20748</v>
      </c>
      <c r="X188" s="22">
        <f t="shared" si="9"/>
        <v>82688</v>
      </c>
    </row>
    <row r="189" spans="20:24" x14ac:dyDescent="0.35">
      <c r="T189" s="24">
        <v>77</v>
      </c>
      <c r="U189" s="22"/>
      <c r="V189" s="22">
        <f t="shared" si="7"/>
        <v>83776</v>
      </c>
      <c r="W189" s="22">
        <f t="shared" si="8"/>
        <v>21021</v>
      </c>
      <c r="X189" s="22">
        <f t="shared" si="9"/>
        <v>83776</v>
      </c>
    </row>
    <row r="190" spans="20:24" x14ac:dyDescent="0.35">
      <c r="T190" s="24">
        <v>78</v>
      </c>
      <c r="U190" s="22"/>
      <c r="V190" s="22">
        <f t="shared" si="7"/>
        <v>84864</v>
      </c>
      <c r="W190" s="22">
        <f t="shared" si="8"/>
        <v>21294</v>
      </c>
      <c r="X190" s="22">
        <f t="shared" si="9"/>
        <v>84864</v>
      </c>
    </row>
    <row r="191" spans="20:24" x14ac:dyDescent="0.35">
      <c r="T191" s="24">
        <v>79</v>
      </c>
      <c r="U191" s="22"/>
      <c r="V191" s="22">
        <f t="shared" si="7"/>
        <v>85952</v>
      </c>
      <c r="W191" s="22">
        <f t="shared" si="8"/>
        <v>21567</v>
      </c>
      <c r="X191" s="22">
        <f t="shared" si="9"/>
        <v>85952</v>
      </c>
    </row>
    <row r="192" spans="20:24" x14ac:dyDescent="0.35">
      <c r="T192" s="24">
        <v>80</v>
      </c>
      <c r="U192" s="22"/>
      <c r="V192" s="22">
        <f t="shared" si="7"/>
        <v>87040</v>
      </c>
      <c r="W192" s="22">
        <f t="shared" si="8"/>
        <v>21840</v>
      </c>
      <c r="X192" s="22">
        <f t="shared" si="9"/>
        <v>87040</v>
      </c>
    </row>
    <row r="193" spans="20:24" x14ac:dyDescent="0.35">
      <c r="T193" s="24">
        <v>81</v>
      </c>
      <c r="U193" s="48"/>
      <c r="V193" s="22">
        <f t="shared" si="7"/>
        <v>88128</v>
      </c>
      <c r="W193" s="22">
        <f t="shared" si="8"/>
        <v>22113</v>
      </c>
      <c r="X193" s="22">
        <f t="shared" si="9"/>
        <v>88128</v>
      </c>
    </row>
    <row r="194" spans="20:24" x14ac:dyDescent="0.35">
      <c r="T194" s="24">
        <v>82</v>
      </c>
      <c r="U194" s="48"/>
      <c r="V194" s="22">
        <f t="shared" si="7"/>
        <v>89216</v>
      </c>
      <c r="W194" s="22">
        <f t="shared" si="8"/>
        <v>22386</v>
      </c>
      <c r="X194" s="22">
        <f t="shared" si="9"/>
        <v>89216</v>
      </c>
    </row>
    <row r="195" spans="20:24" x14ac:dyDescent="0.35">
      <c r="T195" s="24">
        <v>83</v>
      </c>
      <c r="U195" s="48"/>
      <c r="V195" s="22">
        <f t="shared" si="7"/>
        <v>90304</v>
      </c>
      <c r="W195" s="22">
        <f t="shared" si="8"/>
        <v>22659</v>
      </c>
      <c r="X195" s="22">
        <f t="shared" si="9"/>
        <v>90304</v>
      </c>
    </row>
    <row r="196" spans="20:24" x14ac:dyDescent="0.35">
      <c r="T196" s="24">
        <v>84</v>
      </c>
      <c r="U196" s="48"/>
      <c r="V196" s="22">
        <f t="shared" si="7"/>
        <v>91392</v>
      </c>
      <c r="W196" s="22">
        <f t="shared" si="8"/>
        <v>22932</v>
      </c>
      <c r="X196" s="22">
        <f t="shared" si="9"/>
        <v>91392</v>
      </c>
    </row>
    <row r="197" spans="20:24" x14ac:dyDescent="0.35">
      <c r="T197" s="24">
        <v>85</v>
      </c>
      <c r="U197" s="48"/>
      <c r="V197" s="22">
        <f t="shared" si="7"/>
        <v>92480</v>
      </c>
      <c r="W197" s="22">
        <f t="shared" si="8"/>
        <v>23205</v>
      </c>
      <c r="X197" s="22">
        <f t="shared" si="9"/>
        <v>92480</v>
      </c>
    </row>
    <row r="198" spans="20:24" x14ac:dyDescent="0.35">
      <c r="T198" s="24">
        <v>86</v>
      </c>
      <c r="U198" s="48"/>
      <c r="V198" s="22">
        <f t="shared" si="7"/>
        <v>93568</v>
      </c>
      <c r="W198" s="22">
        <f t="shared" si="8"/>
        <v>23478</v>
      </c>
      <c r="X198" s="22">
        <f t="shared" si="9"/>
        <v>93568</v>
      </c>
    </row>
    <row r="199" spans="20:24" x14ac:dyDescent="0.35">
      <c r="T199" s="24">
        <v>87</v>
      </c>
      <c r="U199" s="48"/>
      <c r="V199" s="22">
        <f t="shared" si="7"/>
        <v>94656</v>
      </c>
      <c r="W199" s="22">
        <f t="shared" si="8"/>
        <v>23751</v>
      </c>
      <c r="X199" s="22">
        <f t="shared" si="9"/>
        <v>94656</v>
      </c>
    </row>
    <row r="200" spans="20:24" x14ac:dyDescent="0.35">
      <c r="T200" s="24">
        <v>88</v>
      </c>
      <c r="U200" s="48"/>
      <c r="V200" s="22">
        <f t="shared" si="7"/>
        <v>95744</v>
      </c>
      <c r="W200" s="22">
        <f t="shared" si="8"/>
        <v>24024</v>
      </c>
      <c r="X200" s="22">
        <f t="shared" si="9"/>
        <v>95744</v>
      </c>
    </row>
    <row r="201" spans="20:24" x14ac:dyDescent="0.35">
      <c r="T201" s="24">
        <v>89</v>
      </c>
      <c r="U201" s="48"/>
      <c r="V201" s="22">
        <f t="shared" si="7"/>
        <v>96832</v>
      </c>
      <c r="W201" s="22">
        <f t="shared" si="8"/>
        <v>24297</v>
      </c>
      <c r="X201" s="22">
        <f t="shared" si="9"/>
        <v>96832</v>
      </c>
    </row>
    <row r="202" spans="20:24" x14ac:dyDescent="0.35">
      <c r="T202" s="24">
        <v>90</v>
      </c>
      <c r="U202" s="48"/>
      <c r="V202" s="22">
        <f t="shared" si="7"/>
        <v>97920</v>
      </c>
      <c r="W202" s="22">
        <f t="shared" si="8"/>
        <v>24570</v>
      </c>
      <c r="X202" s="22">
        <f t="shared" si="9"/>
        <v>97920</v>
      </c>
    </row>
    <row r="203" spans="20:24" x14ac:dyDescent="0.35">
      <c r="T203" s="24">
        <v>91</v>
      </c>
      <c r="U203" s="48"/>
      <c r="V203" s="22">
        <f t="shared" si="7"/>
        <v>99008</v>
      </c>
      <c r="W203" s="22">
        <f t="shared" si="8"/>
        <v>24843</v>
      </c>
      <c r="X203" s="22">
        <f t="shared" si="9"/>
        <v>99008</v>
      </c>
    </row>
    <row r="204" spans="20:24" x14ac:dyDescent="0.35">
      <c r="T204" s="24">
        <v>92</v>
      </c>
      <c r="U204" s="48"/>
      <c r="V204" s="22">
        <f t="shared" si="7"/>
        <v>100096</v>
      </c>
      <c r="W204" s="22">
        <f t="shared" si="8"/>
        <v>25116</v>
      </c>
      <c r="X204" s="22">
        <f t="shared" si="9"/>
        <v>100096</v>
      </c>
    </row>
    <row r="205" spans="20:24" x14ac:dyDescent="0.35">
      <c r="T205" s="24">
        <v>93</v>
      </c>
      <c r="U205" s="48"/>
      <c r="V205" s="22">
        <f t="shared" si="7"/>
        <v>101184</v>
      </c>
      <c r="W205" s="22">
        <f t="shared" si="8"/>
        <v>25389</v>
      </c>
      <c r="X205" s="22">
        <f t="shared" si="9"/>
        <v>101184</v>
      </c>
    </row>
    <row r="206" spans="20:24" x14ac:dyDescent="0.35">
      <c r="T206" s="24">
        <v>94</v>
      </c>
      <c r="U206" s="48"/>
      <c r="V206" s="22">
        <f t="shared" si="7"/>
        <v>102272</v>
      </c>
      <c r="W206" s="22">
        <f t="shared" si="8"/>
        <v>25662</v>
      </c>
      <c r="X206" s="22">
        <f t="shared" si="9"/>
        <v>102272</v>
      </c>
    </row>
    <row r="207" spans="20:24" x14ac:dyDescent="0.35">
      <c r="T207" s="24">
        <v>95</v>
      </c>
      <c r="U207" s="48"/>
      <c r="V207" s="22">
        <f t="shared" si="7"/>
        <v>103360</v>
      </c>
      <c r="W207" s="22">
        <f t="shared" si="8"/>
        <v>25935</v>
      </c>
      <c r="X207" s="22">
        <f t="shared" si="9"/>
        <v>103360</v>
      </c>
    </row>
    <row r="208" spans="20:24" x14ac:dyDescent="0.35">
      <c r="T208" s="24">
        <v>96</v>
      </c>
      <c r="U208" s="48"/>
      <c r="V208" s="22">
        <f t="shared" si="7"/>
        <v>104448</v>
      </c>
      <c r="W208" s="22">
        <f t="shared" si="8"/>
        <v>26208</v>
      </c>
      <c r="X208" s="22">
        <f t="shared" si="9"/>
        <v>104448</v>
      </c>
    </row>
    <row r="209" spans="20:24" x14ac:dyDescent="0.35">
      <c r="T209" s="24">
        <v>97</v>
      </c>
      <c r="U209" s="48"/>
      <c r="V209" s="22">
        <f t="shared" si="7"/>
        <v>105536</v>
      </c>
      <c r="W209" s="22">
        <f t="shared" si="8"/>
        <v>26481</v>
      </c>
      <c r="X209" s="22">
        <f t="shared" si="9"/>
        <v>105536</v>
      </c>
    </row>
    <row r="210" spans="20:24" x14ac:dyDescent="0.35">
      <c r="T210" s="24">
        <v>98</v>
      </c>
      <c r="U210" s="48"/>
      <c r="V210" s="22">
        <f t="shared" si="7"/>
        <v>106624</v>
      </c>
      <c r="W210" s="22">
        <f t="shared" si="8"/>
        <v>26754</v>
      </c>
      <c r="X210" s="22">
        <f t="shared" si="9"/>
        <v>106624</v>
      </c>
    </row>
    <row r="211" spans="20:24" x14ac:dyDescent="0.35">
      <c r="T211" s="24">
        <v>99</v>
      </c>
      <c r="U211" s="48"/>
      <c r="V211" s="22">
        <f t="shared" si="7"/>
        <v>107712</v>
      </c>
      <c r="W211" s="22">
        <f t="shared" si="8"/>
        <v>27027</v>
      </c>
      <c r="X211" s="22">
        <f t="shared" si="9"/>
        <v>107712</v>
      </c>
    </row>
    <row r="212" spans="20:24" x14ac:dyDescent="0.35">
      <c r="T212" s="24">
        <v>100</v>
      </c>
      <c r="U212" s="48"/>
      <c r="V212" s="22">
        <f t="shared" si="7"/>
        <v>108800</v>
      </c>
      <c r="W212" s="22">
        <f t="shared" si="8"/>
        <v>27300</v>
      </c>
      <c r="X212" s="22">
        <f t="shared" si="9"/>
        <v>108800</v>
      </c>
    </row>
    <row r="213" spans="20:24" ht="15" thickBot="1" x14ac:dyDescent="0.4">
      <c r="T213" s="51"/>
      <c r="U213" s="46"/>
      <c r="V213" s="46"/>
      <c r="W213" s="46"/>
      <c r="X213" s="46"/>
    </row>
    <row r="215" spans="20:24" x14ac:dyDescent="0.35">
      <c r="T215" s="138" t="s">
        <v>62</v>
      </c>
    </row>
    <row r="216" spans="20:24" ht="15" thickBot="1" x14ac:dyDescent="0.4">
      <c r="T216" t="s">
        <v>63</v>
      </c>
    </row>
    <row r="217" spans="20:24" ht="51.5" thickBot="1" x14ac:dyDescent="0.4">
      <c r="T217" s="13" t="s">
        <v>18</v>
      </c>
      <c r="U217" s="13" t="s">
        <v>25</v>
      </c>
      <c r="V217" s="12" t="s">
        <v>187</v>
      </c>
      <c r="W217" s="13" t="s">
        <v>151</v>
      </c>
      <c r="X217" s="137"/>
    </row>
    <row r="218" spans="20:24" x14ac:dyDescent="0.35">
      <c r="T218" s="21">
        <v>1</v>
      </c>
      <c r="U218" s="22"/>
      <c r="V218" s="7">
        <v>273</v>
      </c>
      <c r="W218" s="58"/>
      <c r="X218" s="33"/>
    </row>
    <row r="219" spans="20:24" x14ac:dyDescent="0.35">
      <c r="T219" s="31">
        <v>2</v>
      </c>
      <c r="U219" s="22"/>
      <c r="V219" s="7">
        <f>T219*V$218</f>
        <v>546</v>
      </c>
      <c r="W219" s="22"/>
      <c r="X219" s="33"/>
    </row>
    <row r="220" spans="20:24" x14ac:dyDescent="0.35">
      <c r="T220" s="31">
        <v>3</v>
      </c>
      <c r="U220" s="22" t="s">
        <v>0</v>
      </c>
      <c r="V220" s="7">
        <f t="shared" ref="V220:V283" si="10">T220*V$218</f>
        <v>819</v>
      </c>
      <c r="W220" s="60" t="s">
        <v>0</v>
      </c>
      <c r="X220" s="30"/>
    </row>
    <row r="221" spans="20:24" x14ac:dyDescent="0.35">
      <c r="T221" s="31">
        <v>4</v>
      </c>
      <c r="U221" s="22"/>
      <c r="V221" s="7">
        <f t="shared" si="10"/>
        <v>1092</v>
      </c>
      <c r="W221" s="22"/>
      <c r="X221" s="33"/>
    </row>
    <row r="222" spans="20:24" x14ac:dyDescent="0.35">
      <c r="T222" s="31">
        <v>5</v>
      </c>
      <c r="U222" s="22"/>
      <c r="V222" s="7">
        <f t="shared" si="10"/>
        <v>1365</v>
      </c>
      <c r="W222" s="22"/>
      <c r="X222" s="33"/>
    </row>
    <row r="223" spans="20:24" x14ac:dyDescent="0.35">
      <c r="T223" s="31">
        <v>6</v>
      </c>
      <c r="U223" s="22"/>
      <c r="V223" s="7">
        <f t="shared" si="10"/>
        <v>1638</v>
      </c>
      <c r="W223" s="22"/>
      <c r="X223" s="33"/>
    </row>
    <row r="224" spans="20:24" x14ac:dyDescent="0.35">
      <c r="T224" s="31">
        <v>7</v>
      </c>
      <c r="U224" s="22"/>
      <c r="V224" s="7">
        <f t="shared" si="10"/>
        <v>1911</v>
      </c>
      <c r="W224" s="22"/>
      <c r="X224" s="33"/>
    </row>
    <row r="225" spans="20:24" x14ac:dyDescent="0.35">
      <c r="T225" s="31">
        <v>8</v>
      </c>
      <c r="U225" s="22"/>
      <c r="V225" s="7">
        <f t="shared" si="10"/>
        <v>2184</v>
      </c>
      <c r="W225" s="22"/>
      <c r="X225" s="33"/>
    </row>
    <row r="226" spans="20:24" x14ac:dyDescent="0.35">
      <c r="T226" s="31">
        <v>9</v>
      </c>
      <c r="U226" s="22"/>
      <c r="V226" s="7">
        <f t="shared" si="10"/>
        <v>2457</v>
      </c>
      <c r="W226" s="22"/>
      <c r="X226" s="33"/>
    </row>
    <row r="227" spans="20:24" x14ac:dyDescent="0.35">
      <c r="T227" s="31">
        <v>10</v>
      </c>
      <c r="U227" s="22"/>
      <c r="V227" s="7">
        <f t="shared" si="10"/>
        <v>2730</v>
      </c>
      <c r="W227" s="22"/>
      <c r="X227" s="33"/>
    </row>
    <row r="228" spans="20:24" x14ac:dyDescent="0.35">
      <c r="T228" s="31">
        <v>11</v>
      </c>
      <c r="U228" s="22"/>
      <c r="V228" s="7">
        <f t="shared" si="10"/>
        <v>3003</v>
      </c>
      <c r="W228" s="22"/>
      <c r="X228" s="33"/>
    </row>
    <row r="229" spans="20:24" x14ac:dyDescent="0.35">
      <c r="T229" s="31">
        <v>12</v>
      </c>
      <c r="U229" s="22"/>
      <c r="V229" s="7">
        <f t="shared" si="10"/>
        <v>3276</v>
      </c>
      <c r="W229" s="22"/>
      <c r="X229" s="33"/>
    </row>
    <row r="230" spans="20:24" x14ac:dyDescent="0.35">
      <c r="T230" s="31">
        <v>13</v>
      </c>
      <c r="U230" s="22"/>
      <c r="V230" s="7">
        <f t="shared" si="10"/>
        <v>3549</v>
      </c>
      <c r="W230" s="22"/>
      <c r="X230" s="33"/>
    </row>
    <row r="231" spans="20:24" x14ac:dyDescent="0.35">
      <c r="T231" s="31">
        <v>14</v>
      </c>
      <c r="U231" s="22"/>
      <c r="V231" s="7">
        <f t="shared" si="10"/>
        <v>3822</v>
      </c>
      <c r="W231" s="22"/>
      <c r="X231" s="33"/>
    </row>
    <row r="232" spans="20:24" x14ac:dyDescent="0.35">
      <c r="T232" s="31">
        <v>15</v>
      </c>
      <c r="U232" s="22"/>
      <c r="V232" s="7">
        <f t="shared" si="10"/>
        <v>4095</v>
      </c>
      <c r="W232" s="22"/>
      <c r="X232" s="33"/>
    </row>
    <row r="233" spans="20:24" x14ac:dyDescent="0.35">
      <c r="T233" s="31">
        <v>16</v>
      </c>
      <c r="U233" s="22"/>
      <c r="V233" s="7">
        <f t="shared" si="10"/>
        <v>4368</v>
      </c>
      <c r="W233" s="22"/>
      <c r="X233" s="33"/>
    </row>
    <row r="234" spans="20:24" x14ac:dyDescent="0.35">
      <c r="T234" s="31">
        <v>17</v>
      </c>
      <c r="U234" s="22"/>
      <c r="V234" s="7">
        <f t="shared" si="10"/>
        <v>4641</v>
      </c>
      <c r="W234" s="22"/>
      <c r="X234" s="33"/>
    </row>
    <row r="235" spans="20:24" x14ac:dyDescent="0.35">
      <c r="T235" s="31">
        <v>18</v>
      </c>
      <c r="U235" s="22"/>
      <c r="V235" s="7">
        <f t="shared" si="10"/>
        <v>4914</v>
      </c>
      <c r="W235" s="22"/>
      <c r="X235" s="33"/>
    </row>
    <row r="236" spans="20:24" x14ac:dyDescent="0.35">
      <c r="T236" s="31">
        <v>19</v>
      </c>
      <c r="U236" s="22"/>
      <c r="V236" s="7">
        <f t="shared" si="10"/>
        <v>5187</v>
      </c>
      <c r="W236" s="22"/>
      <c r="X236" s="33"/>
    </row>
    <row r="237" spans="20:24" x14ac:dyDescent="0.35">
      <c r="T237" s="24">
        <v>20</v>
      </c>
      <c r="U237" s="22"/>
      <c r="V237" s="7">
        <f t="shared" si="10"/>
        <v>5460</v>
      </c>
      <c r="W237" s="22"/>
      <c r="X237" s="33"/>
    </row>
    <row r="238" spans="20:24" x14ac:dyDescent="0.35">
      <c r="T238" s="24">
        <v>21</v>
      </c>
      <c r="U238" s="22"/>
      <c r="V238" s="7">
        <f t="shared" si="10"/>
        <v>5733</v>
      </c>
      <c r="W238" s="22"/>
      <c r="X238" s="33"/>
    </row>
    <row r="239" spans="20:24" x14ac:dyDescent="0.35">
      <c r="T239" s="24">
        <v>22</v>
      </c>
      <c r="U239" s="22"/>
      <c r="V239" s="7">
        <f t="shared" si="10"/>
        <v>6006</v>
      </c>
      <c r="W239" s="22"/>
      <c r="X239" s="33"/>
    </row>
    <row r="240" spans="20:24" x14ac:dyDescent="0.35">
      <c r="T240" s="24">
        <v>23</v>
      </c>
      <c r="U240" s="22"/>
      <c r="V240" s="7">
        <f t="shared" si="10"/>
        <v>6279</v>
      </c>
      <c r="W240" s="22"/>
      <c r="X240" s="33"/>
    </row>
    <row r="241" spans="20:24" x14ac:dyDescent="0.35">
      <c r="T241" s="24">
        <v>24</v>
      </c>
      <c r="U241" s="22"/>
      <c r="V241" s="7">
        <f t="shared" si="10"/>
        <v>6552</v>
      </c>
      <c r="W241" s="22"/>
      <c r="X241" s="33"/>
    </row>
    <row r="242" spans="20:24" x14ac:dyDescent="0.35">
      <c r="T242" s="24">
        <v>25</v>
      </c>
      <c r="U242" s="22"/>
      <c r="V242" s="7">
        <f t="shared" si="10"/>
        <v>6825</v>
      </c>
      <c r="W242" s="22"/>
      <c r="X242" s="33"/>
    </row>
    <row r="243" spans="20:24" x14ac:dyDescent="0.35">
      <c r="T243" s="24">
        <v>26</v>
      </c>
      <c r="U243" s="22"/>
      <c r="V243" s="7">
        <f t="shared" si="10"/>
        <v>7098</v>
      </c>
      <c r="W243" s="22"/>
      <c r="X243" s="33"/>
    </row>
    <row r="244" spans="20:24" x14ac:dyDescent="0.35">
      <c r="T244" s="24">
        <v>27</v>
      </c>
      <c r="U244" s="22"/>
      <c r="V244" s="7">
        <f t="shared" si="10"/>
        <v>7371</v>
      </c>
      <c r="W244" s="22"/>
      <c r="X244" s="33"/>
    </row>
    <row r="245" spans="20:24" x14ac:dyDescent="0.35">
      <c r="T245" s="24">
        <v>28</v>
      </c>
      <c r="U245" s="22"/>
      <c r="V245" s="7">
        <f t="shared" si="10"/>
        <v>7644</v>
      </c>
      <c r="W245" s="22"/>
      <c r="X245" s="33"/>
    </row>
    <row r="246" spans="20:24" x14ac:dyDescent="0.35">
      <c r="T246" s="24">
        <v>29</v>
      </c>
      <c r="U246" s="22"/>
      <c r="V246" s="7">
        <f t="shared" si="10"/>
        <v>7917</v>
      </c>
      <c r="W246" s="22"/>
      <c r="X246" s="33"/>
    </row>
    <row r="247" spans="20:24" x14ac:dyDescent="0.35">
      <c r="T247" s="24">
        <v>30</v>
      </c>
      <c r="U247" s="22"/>
      <c r="V247" s="7">
        <f t="shared" si="10"/>
        <v>8190</v>
      </c>
      <c r="W247" s="22"/>
      <c r="X247" s="33"/>
    </row>
    <row r="248" spans="20:24" x14ac:dyDescent="0.35">
      <c r="T248" s="24">
        <v>31</v>
      </c>
      <c r="U248" s="22"/>
      <c r="V248" s="7">
        <f t="shared" si="10"/>
        <v>8463</v>
      </c>
      <c r="W248" s="22"/>
      <c r="X248" s="33"/>
    </row>
    <row r="249" spans="20:24" x14ac:dyDescent="0.35">
      <c r="T249" s="24">
        <v>32</v>
      </c>
      <c r="U249" s="22"/>
      <c r="V249" s="7">
        <f t="shared" si="10"/>
        <v>8736</v>
      </c>
      <c r="W249" s="22"/>
      <c r="X249" s="33"/>
    </row>
    <row r="250" spans="20:24" x14ac:dyDescent="0.35">
      <c r="T250" s="24">
        <v>33</v>
      </c>
      <c r="U250" s="22"/>
      <c r="V250" s="7">
        <f t="shared" si="10"/>
        <v>9009</v>
      </c>
      <c r="W250" s="22"/>
      <c r="X250" s="33"/>
    </row>
    <row r="251" spans="20:24" x14ac:dyDescent="0.35">
      <c r="T251" s="24">
        <v>34</v>
      </c>
      <c r="U251" s="22"/>
      <c r="V251" s="7">
        <f t="shared" si="10"/>
        <v>9282</v>
      </c>
      <c r="W251" s="22"/>
      <c r="X251" s="33"/>
    </row>
    <row r="252" spans="20:24" x14ac:dyDescent="0.35">
      <c r="T252" s="24">
        <v>35</v>
      </c>
      <c r="U252" s="22"/>
      <c r="V252" s="7">
        <f t="shared" si="10"/>
        <v>9555</v>
      </c>
      <c r="W252" s="22"/>
      <c r="X252" s="33"/>
    </row>
    <row r="253" spans="20:24" x14ac:dyDescent="0.35">
      <c r="T253" s="24">
        <v>36</v>
      </c>
      <c r="U253" s="22"/>
      <c r="V253" s="7">
        <f t="shared" si="10"/>
        <v>9828</v>
      </c>
      <c r="W253" s="22"/>
      <c r="X253" s="33"/>
    </row>
    <row r="254" spans="20:24" x14ac:dyDescent="0.35">
      <c r="T254" s="24">
        <v>37</v>
      </c>
      <c r="U254" s="22"/>
      <c r="V254" s="7">
        <f t="shared" si="10"/>
        <v>10101</v>
      </c>
      <c r="W254" s="22"/>
      <c r="X254" s="33"/>
    </row>
    <row r="255" spans="20:24" x14ac:dyDescent="0.35">
      <c r="T255" s="24">
        <v>38</v>
      </c>
      <c r="U255" s="22"/>
      <c r="V255" s="7">
        <f t="shared" si="10"/>
        <v>10374</v>
      </c>
      <c r="W255" s="22"/>
      <c r="X255" s="33"/>
    </row>
    <row r="256" spans="20:24" x14ac:dyDescent="0.35">
      <c r="T256" s="24">
        <v>39</v>
      </c>
      <c r="U256" s="22"/>
      <c r="V256" s="7">
        <f t="shared" si="10"/>
        <v>10647</v>
      </c>
      <c r="W256" s="22"/>
      <c r="X256" s="33"/>
    </row>
    <row r="257" spans="20:24" x14ac:dyDescent="0.35">
      <c r="T257" s="24">
        <v>40</v>
      </c>
      <c r="U257" s="22"/>
      <c r="V257" s="7">
        <f t="shared" si="10"/>
        <v>10920</v>
      </c>
      <c r="W257" s="22"/>
      <c r="X257" s="33"/>
    </row>
    <row r="258" spans="20:24" x14ac:dyDescent="0.35">
      <c r="T258" s="24">
        <v>41</v>
      </c>
      <c r="U258" s="22"/>
      <c r="V258" s="7">
        <f t="shared" si="10"/>
        <v>11193</v>
      </c>
      <c r="W258" s="22"/>
      <c r="X258" s="33"/>
    </row>
    <row r="259" spans="20:24" x14ac:dyDescent="0.35">
      <c r="T259" s="24">
        <v>42</v>
      </c>
      <c r="U259" s="22"/>
      <c r="V259" s="7">
        <f t="shared" si="10"/>
        <v>11466</v>
      </c>
      <c r="W259" s="22"/>
      <c r="X259" s="33"/>
    </row>
    <row r="260" spans="20:24" x14ac:dyDescent="0.35">
      <c r="T260" s="24">
        <v>43</v>
      </c>
      <c r="U260" s="22"/>
      <c r="V260" s="7">
        <f t="shared" si="10"/>
        <v>11739</v>
      </c>
      <c r="W260" s="22"/>
      <c r="X260" s="33"/>
    </row>
    <row r="261" spans="20:24" x14ac:dyDescent="0.35">
      <c r="T261" s="24">
        <v>44</v>
      </c>
      <c r="U261" s="22"/>
      <c r="V261" s="7">
        <f t="shared" si="10"/>
        <v>12012</v>
      </c>
      <c r="W261" s="22"/>
      <c r="X261" s="33"/>
    </row>
    <row r="262" spans="20:24" x14ac:dyDescent="0.35">
      <c r="T262" s="24">
        <v>45</v>
      </c>
      <c r="U262" s="22"/>
      <c r="V262" s="7">
        <f t="shared" si="10"/>
        <v>12285</v>
      </c>
      <c r="W262" s="22"/>
      <c r="X262" s="33"/>
    </row>
    <row r="263" spans="20:24" x14ac:dyDescent="0.35">
      <c r="T263" s="24">
        <v>46</v>
      </c>
      <c r="U263" s="22"/>
      <c r="V263" s="7">
        <f t="shared" si="10"/>
        <v>12558</v>
      </c>
      <c r="W263" s="22"/>
      <c r="X263" s="33"/>
    </row>
    <row r="264" spans="20:24" x14ac:dyDescent="0.35">
      <c r="T264" s="24">
        <v>47</v>
      </c>
      <c r="U264" s="22"/>
      <c r="V264" s="7">
        <f t="shared" si="10"/>
        <v>12831</v>
      </c>
      <c r="W264" s="22"/>
      <c r="X264" s="33"/>
    </row>
    <row r="265" spans="20:24" x14ac:dyDescent="0.35">
      <c r="T265" s="24">
        <v>48</v>
      </c>
      <c r="U265" s="22"/>
      <c r="V265" s="7">
        <f t="shared" si="10"/>
        <v>13104</v>
      </c>
      <c r="W265" s="22"/>
      <c r="X265" s="33"/>
    </row>
    <row r="266" spans="20:24" x14ac:dyDescent="0.35">
      <c r="T266" s="24">
        <v>49</v>
      </c>
      <c r="U266" s="22"/>
      <c r="V266" s="7">
        <f t="shared" si="10"/>
        <v>13377</v>
      </c>
      <c r="W266" s="22"/>
      <c r="X266" s="33"/>
    </row>
    <row r="267" spans="20:24" x14ac:dyDescent="0.35">
      <c r="T267" s="24">
        <v>50</v>
      </c>
      <c r="U267" s="22"/>
      <c r="V267" s="7">
        <f t="shared" si="10"/>
        <v>13650</v>
      </c>
      <c r="W267" s="22"/>
      <c r="X267" s="33"/>
    </row>
    <row r="268" spans="20:24" x14ac:dyDescent="0.35">
      <c r="T268" s="24">
        <v>51</v>
      </c>
      <c r="U268" s="22"/>
      <c r="V268" s="7">
        <f t="shared" si="10"/>
        <v>13923</v>
      </c>
      <c r="W268" s="22"/>
      <c r="X268" s="33"/>
    </row>
    <row r="269" spans="20:24" x14ac:dyDescent="0.35">
      <c r="T269" s="24">
        <v>52</v>
      </c>
      <c r="U269" s="22"/>
      <c r="V269" s="7">
        <f t="shared" si="10"/>
        <v>14196</v>
      </c>
      <c r="W269" s="22"/>
      <c r="X269" s="33"/>
    </row>
    <row r="270" spans="20:24" x14ac:dyDescent="0.35">
      <c r="T270" s="24">
        <v>53</v>
      </c>
      <c r="U270" s="22"/>
      <c r="V270" s="7">
        <f t="shared" si="10"/>
        <v>14469</v>
      </c>
      <c r="W270" s="22"/>
      <c r="X270" s="33"/>
    </row>
    <row r="271" spans="20:24" x14ac:dyDescent="0.35">
      <c r="T271" s="24">
        <v>54</v>
      </c>
      <c r="U271" s="22"/>
      <c r="V271" s="7">
        <f t="shared" si="10"/>
        <v>14742</v>
      </c>
      <c r="W271" s="22"/>
      <c r="X271" s="33"/>
    </row>
    <row r="272" spans="20:24" x14ac:dyDescent="0.35">
      <c r="T272" s="24">
        <v>55</v>
      </c>
      <c r="U272" s="22"/>
      <c r="V272" s="7">
        <f t="shared" si="10"/>
        <v>15015</v>
      </c>
      <c r="W272" s="22"/>
      <c r="X272" s="33"/>
    </row>
    <row r="273" spans="20:24" x14ac:dyDescent="0.35">
      <c r="T273" s="24">
        <v>56</v>
      </c>
      <c r="U273" s="22"/>
      <c r="V273" s="7">
        <f t="shared" si="10"/>
        <v>15288</v>
      </c>
      <c r="W273" s="22"/>
      <c r="X273" s="33"/>
    </row>
    <row r="274" spans="20:24" x14ac:dyDescent="0.35">
      <c r="T274" s="24">
        <v>57</v>
      </c>
      <c r="U274" s="22"/>
      <c r="V274" s="7">
        <f t="shared" si="10"/>
        <v>15561</v>
      </c>
      <c r="W274" s="22"/>
      <c r="X274" s="33"/>
    </row>
    <row r="275" spans="20:24" x14ac:dyDescent="0.35">
      <c r="T275" s="24">
        <v>58</v>
      </c>
      <c r="U275" s="22"/>
      <c r="V275" s="7">
        <f t="shared" si="10"/>
        <v>15834</v>
      </c>
      <c r="W275" s="22"/>
      <c r="X275" s="33"/>
    </row>
    <row r="276" spans="20:24" x14ac:dyDescent="0.35">
      <c r="T276" s="24">
        <v>59</v>
      </c>
      <c r="U276" s="22"/>
      <c r="V276" s="7">
        <f t="shared" si="10"/>
        <v>16107</v>
      </c>
      <c r="W276" s="22"/>
      <c r="X276" s="33"/>
    </row>
    <row r="277" spans="20:24" x14ac:dyDescent="0.35">
      <c r="T277" s="24">
        <v>60</v>
      </c>
      <c r="U277" s="22"/>
      <c r="V277" s="7">
        <f t="shared" si="10"/>
        <v>16380</v>
      </c>
      <c r="W277" s="22"/>
      <c r="X277" s="33"/>
    </row>
    <row r="278" spans="20:24" x14ac:dyDescent="0.35">
      <c r="T278" s="24">
        <v>61</v>
      </c>
      <c r="U278" s="22"/>
      <c r="V278" s="7">
        <f t="shared" si="10"/>
        <v>16653</v>
      </c>
      <c r="W278" s="22"/>
      <c r="X278" s="33"/>
    </row>
    <row r="279" spans="20:24" x14ac:dyDescent="0.35">
      <c r="T279" s="24">
        <v>62</v>
      </c>
      <c r="U279" s="22"/>
      <c r="V279" s="7">
        <f t="shared" si="10"/>
        <v>16926</v>
      </c>
      <c r="W279" s="22"/>
      <c r="X279" s="33"/>
    </row>
    <row r="280" spans="20:24" x14ac:dyDescent="0.35">
      <c r="T280" s="24">
        <v>63</v>
      </c>
      <c r="U280" s="22"/>
      <c r="V280" s="7">
        <f t="shared" si="10"/>
        <v>17199</v>
      </c>
      <c r="W280" s="22"/>
      <c r="X280" s="33"/>
    </row>
    <row r="281" spans="20:24" x14ac:dyDescent="0.35">
      <c r="T281" s="24">
        <v>64</v>
      </c>
      <c r="U281" s="22"/>
      <c r="V281" s="7">
        <f t="shared" si="10"/>
        <v>17472</v>
      </c>
      <c r="W281" s="22"/>
      <c r="X281" s="33"/>
    </row>
    <row r="282" spans="20:24" x14ac:dyDescent="0.35">
      <c r="T282" s="24">
        <v>65</v>
      </c>
      <c r="U282" s="22"/>
      <c r="V282" s="7">
        <f t="shared" si="10"/>
        <v>17745</v>
      </c>
      <c r="W282" s="22"/>
      <c r="X282" s="33"/>
    </row>
    <row r="283" spans="20:24" x14ac:dyDescent="0.35">
      <c r="T283" s="24">
        <v>66</v>
      </c>
      <c r="U283" s="22"/>
      <c r="V283" s="7">
        <f t="shared" si="10"/>
        <v>18018</v>
      </c>
      <c r="W283" s="22"/>
      <c r="X283" s="33"/>
    </row>
    <row r="284" spans="20:24" x14ac:dyDescent="0.35">
      <c r="T284" s="24">
        <v>67</v>
      </c>
      <c r="U284" s="22"/>
      <c r="V284" s="7">
        <f t="shared" ref="V284:V317" si="11">T284*V$218</f>
        <v>18291</v>
      </c>
      <c r="W284" s="22"/>
      <c r="X284" s="33"/>
    </row>
    <row r="285" spans="20:24" x14ac:dyDescent="0.35">
      <c r="T285" s="24">
        <v>68</v>
      </c>
      <c r="U285" s="22"/>
      <c r="V285" s="7">
        <f t="shared" si="11"/>
        <v>18564</v>
      </c>
      <c r="W285" s="22"/>
      <c r="X285" s="33"/>
    </row>
    <row r="286" spans="20:24" x14ac:dyDescent="0.35">
      <c r="T286" s="24">
        <v>69</v>
      </c>
      <c r="U286" s="22"/>
      <c r="V286" s="7">
        <f t="shared" si="11"/>
        <v>18837</v>
      </c>
      <c r="W286" s="22"/>
      <c r="X286" s="33"/>
    </row>
    <row r="287" spans="20:24" x14ac:dyDescent="0.35">
      <c r="T287" s="24">
        <v>70</v>
      </c>
      <c r="U287" s="22"/>
      <c r="V287" s="7">
        <f t="shared" si="11"/>
        <v>19110</v>
      </c>
      <c r="W287" s="22"/>
      <c r="X287" s="33"/>
    </row>
    <row r="288" spans="20:24" x14ac:dyDescent="0.35">
      <c r="T288" s="24">
        <v>71</v>
      </c>
      <c r="U288" s="22"/>
      <c r="V288" s="7">
        <f t="shared" si="11"/>
        <v>19383</v>
      </c>
      <c r="W288" s="22"/>
      <c r="X288" s="33"/>
    </row>
    <row r="289" spans="20:24" x14ac:dyDescent="0.35">
      <c r="T289" s="24">
        <v>72</v>
      </c>
      <c r="U289" s="22"/>
      <c r="V289" s="7">
        <f t="shared" si="11"/>
        <v>19656</v>
      </c>
      <c r="W289" s="22"/>
      <c r="X289" s="33"/>
    </row>
    <row r="290" spans="20:24" x14ac:dyDescent="0.35">
      <c r="T290" s="24">
        <v>73</v>
      </c>
      <c r="U290" s="22"/>
      <c r="V290" s="7">
        <f t="shared" si="11"/>
        <v>19929</v>
      </c>
      <c r="W290" s="22"/>
      <c r="X290" s="33"/>
    </row>
    <row r="291" spans="20:24" x14ac:dyDescent="0.35">
      <c r="T291" s="24">
        <v>74</v>
      </c>
      <c r="U291" s="22"/>
      <c r="V291" s="7">
        <f t="shared" si="11"/>
        <v>20202</v>
      </c>
      <c r="W291" s="22"/>
      <c r="X291" s="33"/>
    </row>
    <row r="292" spans="20:24" x14ac:dyDescent="0.35">
      <c r="T292" s="24">
        <v>75</v>
      </c>
      <c r="U292" s="22"/>
      <c r="V292" s="7">
        <f t="shared" si="11"/>
        <v>20475</v>
      </c>
      <c r="W292" s="22"/>
      <c r="X292" s="33"/>
    </row>
    <row r="293" spans="20:24" x14ac:dyDescent="0.35">
      <c r="T293" s="24">
        <v>76</v>
      </c>
      <c r="U293" s="22"/>
      <c r="V293" s="7">
        <f t="shared" si="11"/>
        <v>20748</v>
      </c>
      <c r="W293" s="22"/>
      <c r="X293" s="33"/>
    </row>
    <row r="294" spans="20:24" x14ac:dyDescent="0.35">
      <c r="T294" s="24">
        <v>77</v>
      </c>
      <c r="U294" s="22"/>
      <c r="V294" s="7">
        <f t="shared" si="11"/>
        <v>21021</v>
      </c>
      <c r="W294" s="22"/>
      <c r="X294" s="33"/>
    </row>
    <row r="295" spans="20:24" x14ac:dyDescent="0.35">
      <c r="T295" s="24">
        <v>78</v>
      </c>
      <c r="U295" s="22"/>
      <c r="V295" s="7">
        <f t="shared" si="11"/>
        <v>21294</v>
      </c>
      <c r="W295" s="22"/>
      <c r="X295" s="33"/>
    </row>
    <row r="296" spans="20:24" x14ac:dyDescent="0.35">
      <c r="T296" s="24">
        <v>79</v>
      </c>
      <c r="U296" s="22"/>
      <c r="V296" s="7">
        <f t="shared" si="11"/>
        <v>21567</v>
      </c>
      <c r="W296" s="22"/>
      <c r="X296" s="33"/>
    </row>
    <row r="297" spans="20:24" x14ac:dyDescent="0.35">
      <c r="T297" s="24">
        <v>80</v>
      </c>
      <c r="U297" s="22"/>
      <c r="V297" s="7">
        <f t="shared" si="11"/>
        <v>21840</v>
      </c>
      <c r="W297" s="22"/>
      <c r="X297" s="33"/>
    </row>
    <row r="298" spans="20:24" x14ac:dyDescent="0.35">
      <c r="T298" s="24">
        <v>81</v>
      </c>
      <c r="U298" s="48"/>
      <c r="V298" s="7">
        <f t="shared" si="11"/>
        <v>22113</v>
      </c>
      <c r="W298" s="48"/>
      <c r="X298" s="49"/>
    </row>
    <row r="299" spans="20:24" x14ac:dyDescent="0.35">
      <c r="T299" s="24">
        <v>82</v>
      </c>
      <c r="U299" s="48"/>
      <c r="V299" s="7">
        <f t="shared" si="11"/>
        <v>22386</v>
      </c>
      <c r="W299" s="48"/>
      <c r="X299" s="49"/>
    </row>
    <row r="300" spans="20:24" x14ac:dyDescent="0.35">
      <c r="T300" s="24">
        <v>83</v>
      </c>
      <c r="U300" s="48"/>
      <c r="V300" s="7">
        <f t="shared" si="11"/>
        <v>22659</v>
      </c>
      <c r="W300" s="48"/>
      <c r="X300" s="49"/>
    </row>
    <row r="301" spans="20:24" x14ac:dyDescent="0.35">
      <c r="T301" s="24">
        <v>84</v>
      </c>
      <c r="U301" s="48"/>
      <c r="V301" s="7">
        <f t="shared" si="11"/>
        <v>22932</v>
      </c>
      <c r="W301" s="48"/>
      <c r="X301" s="49"/>
    </row>
    <row r="302" spans="20:24" x14ac:dyDescent="0.35">
      <c r="T302" s="24">
        <v>85</v>
      </c>
      <c r="U302" s="48"/>
      <c r="V302" s="7">
        <f t="shared" si="11"/>
        <v>23205</v>
      </c>
      <c r="W302" s="48"/>
      <c r="X302" s="49"/>
    </row>
    <row r="303" spans="20:24" x14ac:dyDescent="0.35">
      <c r="T303" s="24">
        <v>86</v>
      </c>
      <c r="U303" s="48"/>
      <c r="V303" s="7">
        <f t="shared" si="11"/>
        <v>23478</v>
      </c>
      <c r="W303" s="48"/>
      <c r="X303" s="49"/>
    </row>
    <row r="304" spans="20:24" x14ac:dyDescent="0.35">
      <c r="T304" s="24">
        <v>87</v>
      </c>
      <c r="U304" s="48"/>
      <c r="V304" s="7">
        <f t="shared" si="11"/>
        <v>23751</v>
      </c>
      <c r="W304" s="48"/>
      <c r="X304" s="49"/>
    </row>
    <row r="305" spans="20:24" x14ac:dyDescent="0.35">
      <c r="T305" s="24">
        <v>88</v>
      </c>
      <c r="U305" s="48"/>
      <c r="V305" s="7">
        <f t="shared" si="11"/>
        <v>24024</v>
      </c>
      <c r="W305" s="48"/>
      <c r="X305" s="49"/>
    </row>
    <row r="306" spans="20:24" x14ac:dyDescent="0.35">
      <c r="T306" s="24">
        <v>89</v>
      </c>
      <c r="U306" s="48"/>
      <c r="V306" s="7">
        <f t="shared" si="11"/>
        <v>24297</v>
      </c>
      <c r="W306" s="48"/>
      <c r="X306" s="49"/>
    </row>
    <row r="307" spans="20:24" x14ac:dyDescent="0.35">
      <c r="T307" s="24">
        <v>90</v>
      </c>
      <c r="U307" s="48"/>
      <c r="V307" s="7">
        <f t="shared" si="11"/>
        <v>24570</v>
      </c>
      <c r="W307" s="48"/>
      <c r="X307" s="49"/>
    </row>
    <row r="308" spans="20:24" x14ac:dyDescent="0.35">
      <c r="T308" s="24">
        <v>91</v>
      </c>
      <c r="U308" s="48"/>
      <c r="V308" s="7">
        <f t="shared" si="11"/>
        <v>24843</v>
      </c>
      <c r="W308" s="48"/>
      <c r="X308" s="49"/>
    </row>
    <row r="309" spans="20:24" x14ac:dyDescent="0.35">
      <c r="T309" s="24">
        <v>92</v>
      </c>
      <c r="U309" s="48"/>
      <c r="V309" s="7">
        <f t="shared" si="11"/>
        <v>25116</v>
      </c>
      <c r="W309" s="48"/>
      <c r="X309" s="49"/>
    </row>
    <row r="310" spans="20:24" x14ac:dyDescent="0.35">
      <c r="T310" s="24">
        <v>93</v>
      </c>
      <c r="U310" s="48"/>
      <c r="V310" s="7">
        <f t="shared" si="11"/>
        <v>25389</v>
      </c>
      <c r="W310" s="48"/>
      <c r="X310" s="49"/>
    </row>
    <row r="311" spans="20:24" x14ac:dyDescent="0.35">
      <c r="T311" s="24">
        <v>94</v>
      </c>
      <c r="U311" s="48"/>
      <c r="V311" s="7">
        <f t="shared" si="11"/>
        <v>25662</v>
      </c>
      <c r="W311" s="48"/>
      <c r="X311" s="49"/>
    </row>
    <row r="312" spans="20:24" x14ac:dyDescent="0.35">
      <c r="T312" s="24">
        <v>95</v>
      </c>
      <c r="U312" s="48"/>
      <c r="V312" s="7">
        <f t="shared" si="11"/>
        <v>25935</v>
      </c>
      <c r="W312" s="48"/>
      <c r="X312" s="49"/>
    </row>
    <row r="313" spans="20:24" x14ac:dyDescent="0.35">
      <c r="T313" s="24">
        <v>96</v>
      </c>
      <c r="U313" s="48"/>
      <c r="V313" s="7">
        <f t="shared" si="11"/>
        <v>26208</v>
      </c>
      <c r="W313" s="48"/>
      <c r="X313" s="49"/>
    </row>
    <row r="314" spans="20:24" x14ac:dyDescent="0.35">
      <c r="T314" s="24">
        <v>97</v>
      </c>
      <c r="U314" s="48"/>
      <c r="V314" s="7">
        <f t="shared" si="11"/>
        <v>26481</v>
      </c>
      <c r="W314" s="48"/>
      <c r="X314" s="49"/>
    </row>
    <row r="315" spans="20:24" x14ac:dyDescent="0.35">
      <c r="T315" s="24">
        <v>98</v>
      </c>
      <c r="U315" s="48"/>
      <c r="V315" s="7">
        <f t="shared" si="11"/>
        <v>26754</v>
      </c>
      <c r="W315" s="48"/>
      <c r="X315" s="49"/>
    </row>
    <row r="316" spans="20:24" x14ac:dyDescent="0.35">
      <c r="T316" s="24">
        <v>99</v>
      </c>
      <c r="U316" s="48"/>
      <c r="V316" s="7">
        <f t="shared" si="11"/>
        <v>27027</v>
      </c>
      <c r="W316" s="48"/>
      <c r="X316" s="49"/>
    </row>
    <row r="317" spans="20:24" x14ac:dyDescent="0.35">
      <c r="T317" s="24">
        <v>100</v>
      </c>
      <c r="U317" s="48"/>
      <c r="V317" s="7">
        <f t="shared" si="11"/>
        <v>27300</v>
      </c>
      <c r="W317" s="48"/>
      <c r="X317" s="49"/>
    </row>
    <row r="318" spans="20:24" ht="15" thickBot="1" x14ac:dyDescent="0.4">
      <c r="T318" s="51"/>
      <c r="U318" s="46"/>
      <c r="V318" s="46"/>
      <c r="W318" s="46"/>
    </row>
  </sheetData>
  <mergeCells count="5">
    <mergeCell ref="C5:D5"/>
    <mergeCell ref="I5:J5"/>
    <mergeCell ref="L5:N5"/>
    <mergeCell ref="Z5:AC6"/>
    <mergeCell ref="V110:W110"/>
  </mergeCells>
  <phoneticPr fontId="25" type="noConversion"/>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E63F0-99D7-48C3-9044-62F816B9B3C0}">
  <sheetPr codeName="Feuil2"/>
  <dimension ref="A2:AN117"/>
  <sheetViews>
    <sheetView workbookViewId="0">
      <selection activeCell="J79" sqref="J79"/>
    </sheetView>
  </sheetViews>
  <sheetFormatPr baseColWidth="10" defaultRowHeight="14.5" x14ac:dyDescent="0.35"/>
  <cols>
    <col min="2" max="2" width="13" customWidth="1"/>
    <col min="3" max="3" width="42.54296875" customWidth="1"/>
    <col min="5" max="5" width="13.54296875" customWidth="1"/>
    <col min="7" max="7" width="36.54296875" customWidth="1"/>
    <col min="8" max="8" width="13.453125" customWidth="1"/>
    <col min="12" max="12" width="27.54296875" customWidth="1"/>
    <col min="13" max="13" width="11" customWidth="1"/>
    <col min="18" max="18" width="39.453125" customWidth="1"/>
    <col min="33" max="33" width="31" customWidth="1"/>
  </cols>
  <sheetData>
    <row r="2" spans="1:40" ht="15" thickBot="1" x14ac:dyDescent="0.4">
      <c r="A2" s="282" t="s">
        <v>132</v>
      </c>
      <c r="B2" s="282"/>
      <c r="C2" s="282"/>
    </row>
    <row r="3" spans="1:40" x14ac:dyDescent="0.35">
      <c r="B3" s="269" t="s">
        <v>71</v>
      </c>
      <c r="C3" s="270"/>
      <c r="D3" s="270"/>
      <c r="E3" s="271"/>
      <c r="F3" s="61"/>
      <c r="G3" s="272" t="s">
        <v>146</v>
      </c>
      <c r="H3" s="273"/>
      <c r="I3" s="273"/>
      <c r="J3" s="274"/>
      <c r="K3" s="61"/>
      <c r="L3" s="269" t="s">
        <v>140</v>
      </c>
      <c r="M3" s="270"/>
      <c r="N3" s="270"/>
      <c r="O3" s="271"/>
      <c r="P3" s="61"/>
      <c r="Q3" s="269" t="s">
        <v>141</v>
      </c>
      <c r="R3" s="270"/>
      <c r="S3" s="270"/>
      <c r="T3" s="271"/>
      <c r="U3" s="61"/>
      <c r="V3" s="269" t="s">
        <v>142</v>
      </c>
      <c r="W3" s="270"/>
      <c r="X3" s="270"/>
      <c r="Y3" s="271"/>
      <c r="Z3" s="61"/>
      <c r="AA3" s="275" t="s">
        <v>143</v>
      </c>
      <c r="AB3" s="276"/>
      <c r="AC3" s="276"/>
      <c r="AD3" s="277"/>
      <c r="AE3" s="61"/>
      <c r="AF3" s="269" t="s">
        <v>147</v>
      </c>
      <c r="AG3" s="270"/>
      <c r="AH3" s="270"/>
      <c r="AI3" s="271"/>
      <c r="AK3" s="215" t="s">
        <v>192</v>
      </c>
      <c r="AL3" s="216"/>
      <c r="AM3" s="216"/>
      <c r="AN3" s="217">
        <f>IF('Financement PFI'!E9&lt;=19,'Financement PFI'!E9,19)</f>
        <v>0</v>
      </c>
    </row>
    <row r="4" spans="1:40" x14ac:dyDescent="0.35">
      <c r="B4" s="62"/>
      <c r="C4" s="61"/>
      <c r="D4" s="63">
        <v>1</v>
      </c>
      <c r="E4" s="64"/>
      <c r="F4" s="61"/>
      <c r="G4" s="65" t="s">
        <v>72</v>
      </c>
      <c r="H4" s="65" t="s">
        <v>73</v>
      </c>
      <c r="I4" s="65" t="s">
        <v>76</v>
      </c>
      <c r="J4" s="66"/>
      <c r="K4" s="61"/>
      <c r="L4" s="62"/>
      <c r="M4" s="61"/>
      <c r="N4" s="63">
        <v>1</v>
      </c>
      <c r="O4" s="64"/>
      <c r="P4" s="61"/>
      <c r="Q4" s="67">
        <f>VLOOKUP('Financement PFI'!$F$16,'Annexe III'!$H$6:$K$86,4)</f>
        <v>0</v>
      </c>
      <c r="R4" s="164">
        <f>VLOOKUP('Financement PFI'!$F$16,'Annexe III'!$H$6:$K$86,2)</f>
        <v>0</v>
      </c>
      <c r="S4" s="67">
        <f>VLOOKUP('Financement PFI'!$F$16,'Annexe III'!$H$6:$K$86,3)</f>
        <v>0</v>
      </c>
      <c r="T4" s="64"/>
      <c r="U4" s="61"/>
      <c r="V4" s="68">
        <f>VLOOKUP('Financement PFI'!$F$14,'Annexe III'!$B$6:$F$86,2)</f>
        <v>0</v>
      </c>
      <c r="W4" s="68">
        <f>VLOOKUP('Financement PFI'!$F$14,'Annexe III'!$B$6:$F$86,5)</f>
        <v>0</v>
      </c>
      <c r="X4" s="165">
        <f>VLOOKUP('Financement PFI'!$F$14,'Annexe III'!$B$6:$F$86,3)</f>
        <v>0</v>
      </c>
      <c r="Y4" s="64"/>
      <c r="Z4" s="61"/>
      <c r="AA4" s="69" t="e">
        <f>VLOOKUP('Financement PFI'!$E$10,'RB PFI 2025-2026'!C8:D107,2)</f>
        <v>#N/A</v>
      </c>
      <c r="AB4" s="70">
        <f>+'RB PFI 2025-2026'!D26</f>
        <v>791882</v>
      </c>
      <c r="AC4" s="63">
        <v>1</v>
      </c>
      <c r="AD4" s="64"/>
      <c r="AE4" s="61"/>
      <c r="AF4" s="62"/>
      <c r="AG4" s="61"/>
      <c r="AH4" s="63">
        <v>1</v>
      </c>
      <c r="AI4" s="64"/>
      <c r="AK4" s="71" t="s">
        <v>193</v>
      </c>
      <c r="AL4" s="61"/>
      <c r="AM4" s="61"/>
      <c r="AN4" s="218"/>
    </row>
    <row r="5" spans="1:40" x14ac:dyDescent="0.35">
      <c r="B5" s="62"/>
      <c r="C5" s="61"/>
      <c r="D5" s="63"/>
      <c r="E5" s="64"/>
      <c r="F5" s="61"/>
      <c r="G5" s="74" t="e">
        <f>VLOOKUP('Financement PFI'!$E$9,'RB PFI 2025-2026'!$I$8:$J$107,2)</f>
        <v>#N/A</v>
      </c>
      <c r="H5" s="74" t="e">
        <f>VLOOKUP('Financement PFI'!$E$10,'RB PFI 2025-2026'!$I$8:$J$107,2)</f>
        <v>#N/A</v>
      </c>
      <c r="I5" s="74" t="e">
        <f>VLOOKUP('Financement PFI'!$E$8,'RB PFI 2025-2026'!$I$8:$J$107,2)</f>
        <v>#N/A</v>
      </c>
      <c r="J5" s="66"/>
      <c r="K5" s="61"/>
      <c r="L5" s="62"/>
      <c r="N5" s="63"/>
      <c r="O5" s="64"/>
      <c r="P5" s="61"/>
      <c r="Q5" s="131"/>
      <c r="R5" s="67"/>
      <c r="S5" s="63"/>
      <c r="T5" s="64"/>
      <c r="U5" s="61"/>
      <c r="V5" s="132"/>
      <c r="W5" s="68"/>
      <c r="X5" s="68">
        <f>VLOOKUP('Financement PFI'!$F$14,'Annexe III'!$B$6:$F$86,4)</f>
        <v>0</v>
      </c>
      <c r="Y5" s="64"/>
      <c r="Z5" s="61"/>
      <c r="AA5" s="133"/>
      <c r="AB5" s="70"/>
      <c r="AC5" s="63"/>
      <c r="AD5" s="64"/>
      <c r="AE5" s="61"/>
      <c r="AF5" s="62"/>
      <c r="AG5" s="61"/>
      <c r="AH5" s="63"/>
      <c r="AI5" s="64"/>
      <c r="AK5" s="71" t="s">
        <v>194</v>
      </c>
      <c r="AL5" s="61"/>
      <c r="AM5" s="61"/>
      <c r="AN5" s="219">
        <f>'Financement PFI'!E8</f>
        <v>0</v>
      </c>
    </row>
    <row r="6" spans="1:40" x14ac:dyDescent="0.35">
      <c r="B6" s="71" t="s">
        <v>74</v>
      </c>
      <c r="C6" s="72" t="s">
        <v>0</v>
      </c>
      <c r="D6" s="63">
        <v>2</v>
      </c>
      <c r="E6" s="73">
        <v>1</v>
      </c>
      <c r="F6" s="61"/>
      <c r="G6" s="71" t="s">
        <v>74</v>
      </c>
      <c r="I6" s="63">
        <v>2</v>
      </c>
      <c r="J6" s="75" t="e">
        <f>$G$5</f>
        <v>#N/A</v>
      </c>
      <c r="K6" s="61"/>
      <c r="L6" s="71" t="s">
        <v>74</v>
      </c>
      <c r="M6" s="72" t="s">
        <v>0</v>
      </c>
      <c r="N6" s="63">
        <v>2</v>
      </c>
      <c r="O6" s="76"/>
      <c r="P6" s="61"/>
      <c r="Q6" s="71" t="s">
        <v>74</v>
      </c>
      <c r="S6" s="63">
        <v>2</v>
      </c>
      <c r="T6" s="77">
        <v>1</v>
      </c>
      <c r="U6" s="61"/>
      <c r="V6" s="71" t="s">
        <v>74</v>
      </c>
      <c r="X6" s="63">
        <v>2</v>
      </c>
      <c r="Y6" s="78">
        <f>IF('Financement PFI'!$C$14="oui",$V$4,1)</f>
        <v>1</v>
      </c>
      <c r="Z6" s="61"/>
      <c r="AA6" s="71" t="s">
        <v>74</v>
      </c>
      <c r="AB6" s="72" t="s">
        <v>0</v>
      </c>
      <c r="AC6" s="63">
        <v>2</v>
      </c>
      <c r="AD6" s="79" cm="1">
        <f t="array" ref="AD6">IF('Financement PFI'!$E$10&lt;=19,791882,IF('Financement PFI'!$E$10&gt;=20,macros!$AA$4:$AB$4))</f>
        <v>791882</v>
      </c>
      <c r="AE6" s="61"/>
      <c r="AF6" s="71" t="s">
        <v>74</v>
      </c>
      <c r="AG6" s="72" t="s">
        <v>0</v>
      </c>
      <c r="AH6" s="63">
        <v>2</v>
      </c>
      <c r="AI6" s="76">
        <f>'Financement PFI'!$C$9*'RB PFI 2025-2026'!$G$5</f>
        <v>0</v>
      </c>
      <c r="AK6" s="62"/>
      <c r="AL6" s="61"/>
      <c r="AM6" s="61"/>
      <c r="AN6" s="219">
        <f>AN3-AN5</f>
        <v>0</v>
      </c>
    </row>
    <row r="7" spans="1:40" x14ac:dyDescent="0.35">
      <c r="B7" s="71" t="s">
        <v>75</v>
      </c>
      <c r="C7" s="61"/>
      <c r="D7" s="63">
        <v>3</v>
      </c>
      <c r="E7" s="73">
        <v>1</v>
      </c>
      <c r="F7" s="61"/>
      <c r="G7" s="71" t="s">
        <v>75</v>
      </c>
      <c r="I7" s="63">
        <v>3</v>
      </c>
      <c r="J7" s="75" t="e">
        <f>$H$5</f>
        <v>#N/A</v>
      </c>
      <c r="K7" s="61"/>
      <c r="L7" s="71" t="s">
        <v>75</v>
      </c>
      <c r="M7" s="61"/>
      <c r="N7" s="63">
        <v>3</v>
      </c>
      <c r="O7" s="76"/>
      <c r="P7" s="61"/>
      <c r="Q7" s="71" t="s">
        <v>75</v>
      </c>
      <c r="R7" s="61"/>
      <c r="S7" s="63">
        <v>3</v>
      </c>
      <c r="T7" s="77">
        <v>1</v>
      </c>
      <c r="U7" s="61"/>
      <c r="V7" s="71" t="s">
        <v>75</v>
      </c>
      <c r="X7" s="63">
        <v>3</v>
      </c>
      <c r="Y7" s="78">
        <f>IF('Financement PFI'!$C$14="oui",$V$4,1)</f>
        <v>1</v>
      </c>
      <c r="Z7" s="61"/>
      <c r="AA7" s="71" t="s">
        <v>75</v>
      </c>
      <c r="AB7" s="61"/>
      <c r="AC7" s="63">
        <v>3</v>
      </c>
      <c r="AD7" s="79" cm="1">
        <f t="array" ref="AD7">IF('Financement PFI'!$E$10&lt;=19,791882,IF('Financement PFI'!$E$10&gt;=20,macros!$AA$4:$AB$4))</f>
        <v>791882</v>
      </c>
      <c r="AE7" s="61"/>
      <c r="AF7" s="71" t="s">
        <v>75</v>
      </c>
      <c r="AG7" s="61"/>
      <c r="AH7" s="63">
        <v>3</v>
      </c>
      <c r="AI7" s="76">
        <f>'Financement PFI'!$C$10*'RB PFI 2025-2026'!$G$5</f>
        <v>0</v>
      </c>
      <c r="AK7" s="71" t="s">
        <v>195</v>
      </c>
      <c r="AL7" s="61"/>
      <c r="AM7" s="61"/>
      <c r="AN7" s="218">
        <f>IF($AN$6&lt;0,0,$AN$6)</f>
        <v>0</v>
      </c>
    </row>
    <row r="8" spans="1:40" ht="15" thickBot="1" x14ac:dyDescent="0.4">
      <c r="B8" s="71" t="s">
        <v>77</v>
      </c>
      <c r="C8" s="61"/>
      <c r="D8" s="63">
        <v>4</v>
      </c>
      <c r="E8" s="73">
        <v>1</v>
      </c>
      <c r="F8" s="61"/>
      <c r="G8" s="71" t="s">
        <v>77</v>
      </c>
      <c r="I8" s="63">
        <v>4</v>
      </c>
      <c r="J8" s="75" t="e">
        <f>$I$5</f>
        <v>#N/A</v>
      </c>
      <c r="K8" s="61"/>
      <c r="L8" s="71" t="s">
        <v>77</v>
      </c>
      <c r="M8" s="61"/>
      <c r="N8" s="63">
        <v>4</v>
      </c>
      <c r="O8" s="76"/>
      <c r="P8" s="61"/>
      <c r="Q8" s="71" t="s">
        <v>77</v>
      </c>
      <c r="R8" s="61"/>
      <c r="S8" s="63">
        <v>4</v>
      </c>
      <c r="T8" s="77">
        <v>1</v>
      </c>
      <c r="U8" s="61"/>
      <c r="V8" s="71" t="s">
        <v>77</v>
      </c>
      <c r="W8" s="61"/>
      <c r="X8" s="63">
        <v>4</v>
      </c>
      <c r="Y8" s="78">
        <f>IF('Financement PFI'!$C$14="oui",$V$4,1)</f>
        <v>1</v>
      </c>
      <c r="Z8" s="61"/>
      <c r="AA8" s="71" t="s">
        <v>77</v>
      </c>
      <c r="AB8" s="61"/>
      <c r="AC8" s="63">
        <v>4</v>
      </c>
      <c r="AD8" s="79" cm="1">
        <f t="array" ref="AD8">IF('Financement PFI'!$E$10&lt;=19,791882,IF('Financement PFI'!$E$10&gt;=20,macros!$AA$4:$AB$4))</f>
        <v>791882</v>
      </c>
      <c r="AE8" s="61"/>
      <c r="AF8" s="71" t="s">
        <v>77</v>
      </c>
      <c r="AG8" s="61"/>
      <c r="AH8" s="63">
        <v>4</v>
      </c>
      <c r="AI8" s="76">
        <f>'Financement PFI'!$C$8*'RB PFI 2025-2026'!$G$5</f>
        <v>0</v>
      </c>
      <c r="AK8" s="82" t="s">
        <v>196</v>
      </c>
      <c r="AL8" s="83"/>
      <c r="AM8" s="83"/>
      <c r="AN8" s="89">
        <f>'RB PFI 2025-2026'!B116</f>
        <v>26148</v>
      </c>
    </row>
    <row r="9" spans="1:40" x14ac:dyDescent="0.35">
      <c r="B9" s="71" t="s">
        <v>78</v>
      </c>
      <c r="C9" s="61"/>
      <c r="D9" s="63">
        <v>5</v>
      </c>
      <c r="E9" s="73">
        <v>1</v>
      </c>
      <c r="F9" s="61"/>
      <c r="G9" s="71" t="s">
        <v>78</v>
      </c>
      <c r="H9" s="61"/>
      <c r="I9" s="63">
        <v>5</v>
      </c>
      <c r="J9" s="75" t="e">
        <f>$G$5</f>
        <v>#N/A</v>
      </c>
      <c r="K9" s="61"/>
      <c r="L9" s="71" t="s">
        <v>78</v>
      </c>
      <c r="M9" s="61"/>
      <c r="N9" s="63">
        <v>5</v>
      </c>
      <c r="O9" s="76"/>
      <c r="P9" s="61"/>
      <c r="Q9" s="71" t="s">
        <v>78</v>
      </c>
      <c r="R9" s="61"/>
      <c r="S9" s="63">
        <v>5</v>
      </c>
      <c r="T9" s="77">
        <v>1</v>
      </c>
      <c r="U9" s="61"/>
      <c r="V9" s="71" t="s">
        <v>78</v>
      </c>
      <c r="W9" s="61"/>
      <c r="X9" s="63">
        <v>5</v>
      </c>
      <c r="Y9" s="78">
        <f>IF('Financement PFI'!$C$14="oui",$V$4,1)</f>
        <v>1</v>
      </c>
      <c r="Z9" s="61"/>
      <c r="AA9" s="71" t="s">
        <v>78</v>
      </c>
      <c r="AB9" s="61"/>
      <c r="AC9" s="63">
        <v>5</v>
      </c>
      <c r="AD9" s="79" cm="1">
        <f t="array" ref="AD9">IF('Financement PFI'!$E$10&lt;=19,791882,IF('Financement PFI'!$E$10&gt;=20,macros!$AA$4:$AB$4))</f>
        <v>791882</v>
      </c>
      <c r="AE9" s="61"/>
      <c r="AF9" s="71" t="s">
        <v>78</v>
      </c>
      <c r="AG9" s="61"/>
      <c r="AH9" s="63">
        <v>5</v>
      </c>
      <c r="AI9" s="76">
        <f>'Financement PFI'!$C$9*'RB PFI 2025-2026'!$G$5</f>
        <v>0</v>
      </c>
      <c r="AK9" s="61"/>
      <c r="AL9" s="61"/>
      <c r="AM9" s="61"/>
      <c r="AN9" s="61"/>
    </row>
    <row r="10" spans="1:40" ht="15" thickBot="1" x14ac:dyDescent="0.4">
      <c r="B10" s="71" t="s">
        <v>79</v>
      </c>
      <c r="C10" s="61"/>
      <c r="D10" s="63">
        <v>6</v>
      </c>
      <c r="E10" s="73">
        <v>1</v>
      </c>
      <c r="F10" s="61"/>
      <c r="G10" s="71" t="s">
        <v>79</v>
      </c>
      <c r="H10" s="61"/>
      <c r="I10" s="63">
        <v>6</v>
      </c>
      <c r="J10" s="75" t="e">
        <f>$H$5</f>
        <v>#N/A</v>
      </c>
      <c r="K10" s="61"/>
      <c r="L10" s="71" t="s">
        <v>79</v>
      </c>
      <c r="M10" s="61"/>
      <c r="N10" s="63">
        <v>6</v>
      </c>
      <c r="O10" s="76"/>
      <c r="P10" s="61"/>
      <c r="Q10" s="71" t="s">
        <v>79</v>
      </c>
      <c r="R10" s="61"/>
      <c r="S10" s="63">
        <v>6</v>
      </c>
      <c r="T10" s="77">
        <v>1</v>
      </c>
      <c r="U10" s="61"/>
      <c r="V10" s="71" t="s">
        <v>79</v>
      </c>
      <c r="W10" s="61"/>
      <c r="X10" s="63">
        <v>6</v>
      </c>
      <c r="Y10" s="78">
        <f>IF('Financement PFI'!$C$14="oui",$V$4,1)</f>
        <v>1</v>
      </c>
      <c r="Z10" s="61"/>
      <c r="AA10" s="71" t="s">
        <v>79</v>
      </c>
      <c r="AB10" s="61"/>
      <c r="AC10" s="63">
        <v>6</v>
      </c>
      <c r="AD10" s="79" cm="1">
        <f t="array" ref="AD10">IF('Financement PFI'!$E$10&lt;=19,791882,IF('Financement PFI'!$E$10&gt;=20,macros!$AA$4:$AB$4))</f>
        <v>791882</v>
      </c>
      <c r="AE10" s="61"/>
      <c r="AF10" s="71" t="s">
        <v>79</v>
      </c>
      <c r="AG10" s="61"/>
      <c r="AH10" s="63">
        <v>6</v>
      </c>
      <c r="AI10" s="76">
        <f>'Financement PFI'!$C$10*'RB PFI 2025-2026'!$G$5</f>
        <v>0</v>
      </c>
      <c r="AK10" s="61"/>
      <c r="AL10" s="61"/>
      <c r="AM10" s="61"/>
      <c r="AN10" s="61"/>
    </row>
    <row r="11" spans="1:40" x14ac:dyDescent="0.35">
      <c r="B11" s="71" t="s">
        <v>80</v>
      </c>
      <c r="C11" s="61"/>
      <c r="D11" s="63">
        <v>7</v>
      </c>
      <c r="E11" s="73">
        <v>1</v>
      </c>
      <c r="F11" s="61"/>
      <c r="G11" s="71" t="s">
        <v>80</v>
      </c>
      <c r="H11" s="61"/>
      <c r="I11" s="63">
        <v>7</v>
      </c>
      <c r="J11" s="75" t="e">
        <f>$I$5</f>
        <v>#N/A</v>
      </c>
      <c r="K11" s="61"/>
      <c r="L11" s="71" t="s">
        <v>80</v>
      </c>
      <c r="M11" s="61"/>
      <c r="N11" s="63">
        <v>7</v>
      </c>
      <c r="O11" s="76"/>
      <c r="P11" s="61"/>
      <c r="Q11" s="71" t="s">
        <v>80</v>
      </c>
      <c r="R11" s="61"/>
      <c r="S11" s="63">
        <v>7</v>
      </c>
      <c r="T11" s="77">
        <v>1</v>
      </c>
      <c r="U11" s="61"/>
      <c r="V11" s="71" t="s">
        <v>80</v>
      </c>
      <c r="W11" s="61"/>
      <c r="X11" s="63">
        <v>7</v>
      </c>
      <c r="Y11" s="78">
        <f>IF('Financement PFI'!$C$14="oui",$V$4,1)</f>
        <v>1</v>
      </c>
      <c r="Z11" s="61"/>
      <c r="AA11" s="71" t="s">
        <v>80</v>
      </c>
      <c r="AB11" s="61"/>
      <c r="AC11" s="63">
        <v>7</v>
      </c>
      <c r="AD11" s="79" cm="1">
        <f t="array" ref="AD11">IF('Financement PFI'!$E$10&lt;=19,791882,IF('Financement PFI'!$E$10&gt;=20,macros!$AA$4:$AB$4))</f>
        <v>791882</v>
      </c>
      <c r="AE11" s="61"/>
      <c r="AF11" s="71" t="s">
        <v>80</v>
      </c>
      <c r="AG11" s="61"/>
      <c r="AH11" s="63">
        <v>7</v>
      </c>
      <c r="AI11" s="76">
        <f>'Financement PFI'!$C$8*'RB PFI 2025-2026'!$G$5</f>
        <v>0</v>
      </c>
      <c r="AK11" s="266" t="s">
        <v>197</v>
      </c>
      <c r="AL11" s="267"/>
      <c r="AM11" s="267"/>
      <c r="AN11" s="268"/>
    </row>
    <row r="12" spans="1:40" x14ac:dyDescent="0.35">
      <c r="B12" s="71" t="s">
        <v>81</v>
      </c>
      <c r="C12" s="61"/>
      <c r="D12" s="63">
        <v>8</v>
      </c>
      <c r="E12" s="73">
        <v>1</v>
      </c>
      <c r="F12" s="61"/>
      <c r="G12" s="71" t="s">
        <v>81</v>
      </c>
      <c r="H12" s="61"/>
      <c r="I12" s="63">
        <v>8</v>
      </c>
      <c r="J12" s="75" t="e">
        <f>$G$5</f>
        <v>#N/A</v>
      </c>
      <c r="K12" s="61"/>
      <c r="L12" s="71" t="s">
        <v>81</v>
      </c>
      <c r="M12" s="61"/>
      <c r="N12" s="63">
        <v>8</v>
      </c>
      <c r="O12" s="76"/>
      <c r="P12" s="61"/>
      <c r="Q12" s="71" t="s">
        <v>81</v>
      </c>
      <c r="R12" s="61"/>
      <c r="S12" s="63">
        <v>8</v>
      </c>
      <c r="T12" s="78" t="b">
        <f>IF('Financement PFI'!$C$16="oui",$Q$4,FALSE)</f>
        <v>0</v>
      </c>
      <c r="U12" s="61"/>
      <c r="V12" s="71" t="s">
        <v>81</v>
      </c>
      <c r="W12" s="61"/>
      <c r="X12" s="63">
        <v>8</v>
      </c>
      <c r="Y12" s="78">
        <v>1</v>
      </c>
      <c r="Z12" s="61"/>
      <c r="AA12" s="71" t="s">
        <v>81</v>
      </c>
      <c r="AB12" s="61"/>
      <c r="AC12" s="63">
        <v>8</v>
      </c>
      <c r="AD12" s="79" cm="1">
        <f t="array" ref="AD12">IF('Financement PFI'!$E$10&lt;=19,791882,IF('Financement PFI'!$E$10&gt;=20,macros!$AA$4:$AB$4))</f>
        <v>791882</v>
      </c>
      <c r="AE12" s="61"/>
      <c r="AF12" s="71" t="s">
        <v>81</v>
      </c>
      <c r="AG12" s="61"/>
      <c r="AH12" s="63">
        <v>8</v>
      </c>
      <c r="AI12" s="76">
        <f>'Financement PFI'!$C$9*'RB PFI 2025-2026'!$G$5</f>
        <v>0</v>
      </c>
      <c r="AK12" s="62"/>
      <c r="AL12" s="221"/>
      <c r="AM12" s="222">
        <v>1</v>
      </c>
      <c r="AN12" s="64"/>
    </row>
    <row r="13" spans="1:40" x14ac:dyDescent="0.35">
      <c r="B13" s="71" t="s">
        <v>138</v>
      </c>
      <c r="C13" s="70"/>
      <c r="D13" s="63">
        <v>9</v>
      </c>
      <c r="E13" s="73">
        <v>1</v>
      </c>
      <c r="F13" s="61"/>
      <c r="G13" s="71" t="s">
        <v>138</v>
      </c>
      <c r="H13" s="70"/>
      <c r="I13" s="63">
        <v>9</v>
      </c>
      <c r="J13" s="75" t="e">
        <f>$H$5</f>
        <v>#N/A</v>
      </c>
      <c r="K13" s="61"/>
      <c r="L13" s="71" t="s">
        <v>138</v>
      </c>
      <c r="M13" s="70"/>
      <c r="N13" s="63">
        <v>9</v>
      </c>
      <c r="O13" s="76"/>
      <c r="P13" s="61"/>
      <c r="Q13" s="71" t="s">
        <v>138</v>
      </c>
      <c r="R13" s="70"/>
      <c r="S13" s="63">
        <v>9</v>
      </c>
      <c r="T13" s="78" t="b">
        <f>IF('Financement PFI'!$C$16="oui",$Q$4,FALSE)</f>
        <v>0</v>
      </c>
      <c r="U13" s="61"/>
      <c r="V13" s="71" t="s">
        <v>138</v>
      </c>
      <c r="W13" s="70"/>
      <c r="X13" s="63">
        <v>9</v>
      </c>
      <c r="Y13" s="78">
        <v>1</v>
      </c>
      <c r="Z13" s="61"/>
      <c r="AA13" s="71" t="s">
        <v>138</v>
      </c>
      <c r="AB13" s="70"/>
      <c r="AC13" s="63">
        <v>9</v>
      </c>
      <c r="AD13" s="79" cm="1">
        <f t="array" ref="AD13">IF('Financement PFI'!$E$10&lt;=19,791882,IF('Financement PFI'!$E$10&gt;=20,macros!$AA$4:$AB$4))</f>
        <v>791882</v>
      </c>
      <c r="AE13" s="61"/>
      <c r="AF13" s="71" t="s">
        <v>138</v>
      </c>
      <c r="AG13" s="70"/>
      <c r="AH13" s="63">
        <v>9</v>
      </c>
      <c r="AI13" s="76">
        <f>'Financement PFI'!$C$10*'RB PFI 2025-2026'!$G$5</f>
        <v>0</v>
      </c>
      <c r="AK13" s="71" t="s">
        <v>74</v>
      </c>
      <c r="AL13" s="72" t="s">
        <v>0</v>
      </c>
      <c r="AM13" s="222">
        <v>2</v>
      </c>
      <c r="AN13" s="76"/>
    </row>
    <row r="14" spans="1:40" x14ac:dyDescent="0.35">
      <c r="B14" s="71" t="s">
        <v>139</v>
      </c>
      <c r="C14" s="70"/>
      <c r="D14" s="63">
        <v>10</v>
      </c>
      <c r="E14" s="73">
        <v>1</v>
      </c>
      <c r="F14" s="61"/>
      <c r="G14" s="71" t="s">
        <v>139</v>
      </c>
      <c r="H14" s="70"/>
      <c r="I14" s="63">
        <v>10</v>
      </c>
      <c r="J14" s="75" t="e">
        <f>$I$5</f>
        <v>#N/A</v>
      </c>
      <c r="K14" s="61"/>
      <c r="L14" s="71" t="s">
        <v>139</v>
      </c>
      <c r="M14" s="70"/>
      <c r="N14" s="63">
        <v>10</v>
      </c>
      <c r="O14" s="76"/>
      <c r="P14" s="61"/>
      <c r="Q14" s="71" t="s">
        <v>139</v>
      </c>
      <c r="R14" s="70"/>
      <c r="S14" s="63">
        <v>10</v>
      </c>
      <c r="T14" s="78" t="b">
        <f>IF('Financement PFI'!$C$16="oui",$Q$4,FALSE)</f>
        <v>0</v>
      </c>
      <c r="U14" s="61"/>
      <c r="V14" s="71" t="s">
        <v>139</v>
      </c>
      <c r="W14" s="70"/>
      <c r="X14" s="63">
        <v>10</v>
      </c>
      <c r="Y14" s="78">
        <v>1</v>
      </c>
      <c r="Z14" s="61"/>
      <c r="AA14" s="71" t="s">
        <v>139</v>
      </c>
      <c r="AB14" s="70"/>
      <c r="AC14" s="63">
        <v>10</v>
      </c>
      <c r="AD14" s="79" cm="1">
        <f t="array" ref="AD14">IF('Financement PFI'!$E$10&lt;=19,791882,IF('Financement PFI'!$E$10&gt;=20,macros!$AA$4:$AB$4))</f>
        <v>791882</v>
      </c>
      <c r="AE14" s="61"/>
      <c r="AF14" s="71" t="s">
        <v>139</v>
      </c>
      <c r="AG14" s="70"/>
      <c r="AH14" s="63">
        <v>10</v>
      </c>
      <c r="AI14" s="76">
        <f>'Financement PFI'!$C$8*'RB PFI 2025-2026'!$G$5</f>
        <v>0</v>
      </c>
      <c r="AK14" s="71" t="s">
        <v>75</v>
      </c>
      <c r="AL14" s="221"/>
      <c r="AM14" s="222">
        <v>3</v>
      </c>
      <c r="AN14" s="76"/>
    </row>
    <row r="15" spans="1:40" x14ac:dyDescent="0.35">
      <c r="B15" s="71" t="s">
        <v>83</v>
      </c>
      <c r="C15" s="63"/>
      <c r="D15" s="63">
        <v>11</v>
      </c>
      <c r="E15" s="73">
        <v>1</v>
      </c>
      <c r="F15" s="61"/>
      <c r="G15" s="71" t="s">
        <v>83</v>
      </c>
      <c r="H15" s="63"/>
      <c r="I15" s="63">
        <v>11</v>
      </c>
      <c r="J15" s="80">
        <v>0</v>
      </c>
      <c r="K15" s="61"/>
      <c r="L15" s="71" t="s">
        <v>83</v>
      </c>
      <c r="M15" s="63"/>
      <c r="N15" s="63">
        <v>11</v>
      </c>
      <c r="O15" s="76" t="e">
        <f>VLOOKUP('Financement PFI'!$E$8,'RB PFI 2025-2026'!$C$8:$D$107,2)</f>
        <v>#N/A</v>
      </c>
      <c r="P15" s="61"/>
      <c r="Q15" s="71" t="s">
        <v>83</v>
      </c>
      <c r="R15" s="63"/>
      <c r="S15" s="63">
        <v>11</v>
      </c>
      <c r="T15" s="77">
        <v>1</v>
      </c>
      <c r="U15" s="61"/>
      <c r="V15" s="71" t="s">
        <v>83</v>
      </c>
      <c r="W15" s="63"/>
      <c r="X15" s="63">
        <v>11</v>
      </c>
      <c r="Y15" s="78">
        <f>IF('Financement PFI'!$C$14="oui",$W$4,1)</f>
        <v>1</v>
      </c>
      <c r="Z15" s="61"/>
      <c r="AA15" s="71" t="s">
        <v>83</v>
      </c>
      <c r="AB15" s="63"/>
      <c r="AC15" s="63">
        <v>11</v>
      </c>
      <c r="AD15" s="79" t="e" cm="1">
        <f t="array" ref="AD15">IF('Financement PFI'!$E$10&lt;=19,791882,IF('Financement PFI'!$E$10&gt;=20,macros!$AA$4:$AB$4))-O15</f>
        <v>#N/A</v>
      </c>
      <c r="AE15" s="61"/>
      <c r="AF15" s="71" t="s">
        <v>83</v>
      </c>
      <c r="AG15" s="63"/>
      <c r="AH15" s="63">
        <v>11</v>
      </c>
      <c r="AI15" s="76">
        <f>'Financement PFI'!$C$9*'RB PFI 2025-2026'!$G$5</f>
        <v>0</v>
      </c>
      <c r="AK15" s="71" t="s">
        <v>77</v>
      </c>
      <c r="AL15" s="221"/>
      <c r="AM15" s="222">
        <v>4</v>
      </c>
      <c r="AN15" s="76"/>
    </row>
    <row r="16" spans="1:40" x14ac:dyDescent="0.35">
      <c r="B16" s="71" t="s">
        <v>84</v>
      </c>
      <c r="C16" s="61"/>
      <c r="D16" s="63">
        <v>12</v>
      </c>
      <c r="E16" s="73">
        <v>1.2</v>
      </c>
      <c r="F16" s="61"/>
      <c r="G16" s="71" t="s">
        <v>84</v>
      </c>
      <c r="H16" s="61"/>
      <c r="I16" s="63">
        <v>12</v>
      </c>
      <c r="J16" s="80">
        <v>0</v>
      </c>
      <c r="K16" s="61"/>
      <c r="L16" s="71" t="s">
        <v>84</v>
      </c>
      <c r="M16" s="61"/>
      <c r="N16" s="63">
        <v>12</v>
      </c>
      <c r="O16" s="76" t="e">
        <f>VLOOKUP('Financement PFI'!$E$8,'RB PFI 2025-2026'!$C$8:$D$107,2)</f>
        <v>#N/A</v>
      </c>
      <c r="P16" s="61"/>
      <c r="Q16" s="71" t="s">
        <v>84</v>
      </c>
      <c r="R16" s="61"/>
      <c r="S16" s="63">
        <v>12</v>
      </c>
      <c r="T16" s="77">
        <v>1</v>
      </c>
      <c r="U16" s="61"/>
      <c r="V16" s="71" t="s">
        <v>84</v>
      </c>
      <c r="W16" s="61"/>
      <c r="X16" s="63">
        <v>12</v>
      </c>
      <c r="Y16" s="78">
        <f>IF('Financement PFI'!$C$14="oui",$W$4,1)</f>
        <v>1</v>
      </c>
      <c r="Z16" s="61"/>
      <c r="AA16" s="71" t="s">
        <v>84</v>
      </c>
      <c r="AB16" s="61"/>
      <c r="AC16" s="63">
        <v>12</v>
      </c>
      <c r="AD16" s="79" t="e" cm="1">
        <f t="array" ref="AD16">IF('Financement PFI'!$E$10&lt;=19,791882,IF('Financement PFI'!$E$10&gt;=20,macros!$AA$4:$AB$4))-O16</f>
        <v>#N/A</v>
      </c>
      <c r="AE16" s="61"/>
      <c r="AF16" s="71" t="s">
        <v>84</v>
      </c>
      <c r="AG16" s="61"/>
      <c r="AH16" s="63">
        <v>12</v>
      </c>
      <c r="AI16" s="76">
        <f>'Financement PFI'!$C$9*'RB PFI 2025-2026'!$G$5</f>
        <v>0</v>
      </c>
      <c r="AK16" s="71" t="s">
        <v>78</v>
      </c>
      <c r="AL16" s="221"/>
      <c r="AM16" s="222">
        <v>5</v>
      </c>
      <c r="AN16" s="76"/>
    </row>
    <row r="17" spans="1:40" x14ac:dyDescent="0.35">
      <c r="B17" s="71" t="s">
        <v>85</v>
      </c>
      <c r="C17" s="61"/>
      <c r="D17" s="63">
        <v>13</v>
      </c>
      <c r="E17" s="73">
        <v>1</v>
      </c>
      <c r="F17" s="61"/>
      <c r="G17" s="71" t="s">
        <v>85</v>
      </c>
      <c r="H17" s="61"/>
      <c r="I17" s="63">
        <v>13</v>
      </c>
      <c r="J17" s="80">
        <v>0</v>
      </c>
      <c r="K17" s="61"/>
      <c r="L17" s="71" t="s">
        <v>85</v>
      </c>
      <c r="M17" s="61"/>
      <c r="N17" s="63">
        <v>13</v>
      </c>
      <c r="O17" s="76" t="e">
        <f>VLOOKUP('Financement PFI'!$E$8,'RB PFI 2025-2026'!$C$8:$D$107,2)</f>
        <v>#N/A</v>
      </c>
      <c r="P17" s="61"/>
      <c r="Q17" s="71" t="s">
        <v>85</v>
      </c>
      <c r="R17" s="61"/>
      <c r="S17" s="63">
        <v>13</v>
      </c>
      <c r="T17" s="78" t="b">
        <f>IF('Financement PFI'!$C$16="oui",$Q$4,FALSE)</f>
        <v>0</v>
      </c>
      <c r="U17" s="61"/>
      <c r="V17" s="71" t="s">
        <v>85</v>
      </c>
      <c r="W17" s="61"/>
      <c r="X17" s="63">
        <v>13</v>
      </c>
      <c r="Y17" s="78">
        <v>1</v>
      </c>
      <c r="Z17" s="61"/>
      <c r="AA17" s="71" t="s">
        <v>85</v>
      </c>
      <c r="AB17" s="61"/>
      <c r="AC17" s="63">
        <v>13</v>
      </c>
      <c r="AD17" s="79" t="e" cm="1">
        <f t="array" ref="AD17">IF('Financement PFI'!$E$10&lt;=19,791882,IF('Financement PFI'!$E$10&gt;=20,macros!$AA$4:$AB$4))-O17</f>
        <v>#N/A</v>
      </c>
      <c r="AE17" s="61"/>
      <c r="AF17" s="71" t="s">
        <v>85</v>
      </c>
      <c r="AG17" s="61"/>
      <c r="AH17" s="63">
        <v>13</v>
      </c>
      <c r="AI17" s="76">
        <f>'Financement PFI'!$C$9*'RB PFI 2025-2026'!$G$5</f>
        <v>0</v>
      </c>
      <c r="AK17" s="71" t="s">
        <v>79</v>
      </c>
      <c r="AL17" s="221"/>
      <c r="AM17" s="222">
        <v>6</v>
      </c>
      <c r="AN17" s="76"/>
    </row>
    <row r="18" spans="1:40" x14ac:dyDescent="0.35">
      <c r="B18" s="71" t="s">
        <v>86</v>
      </c>
      <c r="C18" s="61"/>
      <c r="D18" s="63">
        <v>14</v>
      </c>
      <c r="E18" s="73">
        <v>1.2</v>
      </c>
      <c r="F18" s="61"/>
      <c r="G18" s="71" t="s">
        <v>86</v>
      </c>
      <c r="H18" s="61"/>
      <c r="I18" s="63">
        <v>14</v>
      </c>
      <c r="J18" s="80">
        <v>0</v>
      </c>
      <c r="K18" s="61"/>
      <c r="L18" s="71" t="s">
        <v>86</v>
      </c>
      <c r="M18" s="61"/>
      <c r="N18" s="63">
        <v>14</v>
      </c>
      <c r="O18" s="76" t="e">
        <f>VLOOKUP('Financement PFI'!$E$8,'RB PFI 2025-2026'!$C$8:$D$107,2)</f>
        <v>#N/A</v>
      </c>
      <c r="P18" s="61"/>
      <c r="Q18" s="71" t="s">
        <v>86</v>
      </c>
      <c r="R18" s="61"/>
      <c r="S18" s="63">
        <v>14</v>
      </c>
      <c r="T18" s="78" t="b">
        <f>IF('Financement PFI'!$C$16="oui",$Q$4,FALSE)</f>
        <v>0</v>
      </c>
      <c r="U18" s="61"/>
      <c r="V18" s="71" t="s">
        <v>86</v>
      </c>
      <c r="W18" s="61"/>
      <c r="X18" s="63">
        <v>14</v>
      </c>
      <c r="Y18" s="78">
        <v>1</v>
      </c>
      <c r="Z18" s="61"/>
      <c r="AA18" s="71" t="s">
        <v>86</v>
      </c>
      <c r="AB18" s="61"/>
      <c r="AC18" s="63">
        <v>14</v>
      </c>
      <c r="AD18" s="79" t="e" cm="1">
        <f t="array" ref="AD18">IF('Financement PFI'!$E$10&lt;=19,791882,IF('Financement PFI'!$E$10&gt;=20,macros!$AA$4:$AB$4))-O18</f>
        <v>#N/A</v>
      </c>
      <c r="AE18" s="61"/>
      <c r="AF18" s="71" t="s">
        <v>86</v>
      </c>
      <c r="AG18" s="61"/>
      <c r="AH18" s="63">
        <v>14</v>
      </c>
      <c r="AI18" s="76">
        <f>'Financement PFI'!$C$9*'RB PFI 2025-2026'!$G$5</f>
        <v>0</v>
      </c>
      <c r="AK18" s="71" t="s">
        <v>80</v>
      </c>
      <c r="AL18" s="221"/>
      <c r="AM18" s="222">
        <v>7</v>
      </c>
      <c r="AN18" s="76"/>
    </row>
    <row r="19" spans="1:40" x14ac:dyDescent="0.35">
      <c r="B19" s="71" t="s">
        <v>87</v>
      </c>
      <c r="C19" s="61"/>
      <c r="D19" s="63">
        <v>15</v>
      </c>
      <c r="E19" s="73">
        <v>0.25</v>
      </c>
      <c r="F19" s="61"/>
      <c r="G19" s="71" t="s">
        <v>87</v>
      </c>
      <c r="H19" s="61"/>
      <c r="I19" s="63">
        <v>15</v>
      </c>
      <c r="J19" s="80">
        <v>0</v>
      </c>
      <c r="K19" s="61"/>
      <c r="L19" s="71" t="s">
        <v>87</v>
      </c>
      <c r="M19" s="61"/>
      <c r="N19" s="63">
        <v>15</v>
      </c>
      <c r="O19" s="76" t="e">
        <f>VLOOKUP('Financement PFI'!$E$8,'RB PFI 2025-2026'!$C$8:$D$107,2)</f>
        <v>#N/A</v>
      </c>
      <c r="P19" s="61"/>
      <c r="Q19" s="71" t="s">
        <v>87</v>
      </c>
      <c r="R19" s="61"/>
      <c r="S19" s="63">
        <v>15</v>
      </c>
      <c r="T19" s="77">
        <v>1</v>
      </c>
      <c r="U19" s="61"/>
      <c r="V19" s="71" t="s">
        <v>87</v>
      </c>
      <c r="W19" s="61"/>
      <c r="X19" s="63">
        <v>15</v>
      </c>
      <c r="Y19" s="166">
        <f>IF('Financement PFI'!$C$14="oui",$X$4,1)</f>
        <v>1</v>
      </c>
      <c r="Z19" s="61"/>
      <c r="AA19" s="71" t="s">
        <v>87</v>
      </c>
      <c r="AB19" s="61"/>
      <c r="AC19" s="63">
        <v>15</v>
      </c>
      <c r="AD19" s="79" t="e" cm="1">
        <f t="array" ref="AD19">IF('Financement PFI'!$E$10&lt;=19,791882,IF('Financement PFI'!$E$10&gt;=20,macros!$AA$4:$AB$4))-O19</f>
        <v>#N/A</v>
      </c>
      <c r="AE19" s="61"/>
      <c r="AF19" s="71" t="s">
        <v>87</v>
      </c>
      <c r="AG19" s="61"/>
      <c r="AH19" s="63">
        <v>15</v>
      </c>
      <c r="AI19" s="76">
        <f>'Financement PFI'!$C$9*'RB PFI 2025-2026'!$G$5</f>
        <v>0</v>
      </c>
      <c r="AK19" s="71" t="s">
        <v>81</v>
      </c>
      <c r="AL19" s="221"/>
      <c r="AM19" s="222">
        <v>8</v>
      </c>
      <c r="AN19" s="76"/>
    </row>
    <row r="20" spans="1:40" x14ac:dyDescent="0.35">
      <c r="B20" s="71" t="s">
        <v>88</v>
      </c>
      <c r="C20" s="61"/>
      <c r="D20" s="63">
        <v>16</v>
      </c>
      <c r="E20" s="73">
        <v>1</v>
      </c>
      <c r="F20" s="61"/>
      <c r="G20" s="71" t="s">
        <v>88</v>
      </c>
      <c r="H20" s="61"/>
      <c r="I20" s="63">
        <v>16</v>
      </c>
      <c r="J20" s="80">
        <v>0</v>
      </c>
      <c r="K20" s="61"/>
      <c r="L20" s="71" t="s">
        <v>88</v>
      </c>
      <c r="M20" s="61"/>
      <c r="N20" s="63">
        <v>16</v>
      </c>
      <c r="O20" s="76" t="e">
        <f>VLOOKUP('Financement PFI'!$E$8,'RB PFI 2025-2026'!$C$8:$D$107,2)</f>
        <v>#N/A</v>
      </c>
      <c r="P20" s="61"/>
      <c r="Q20" s="71" t="s">
        <v>88</v>
      </c>
      <c r="R20" s="61"/>
      <c r="S20" s="63">
        <v>16</v>
      </c>
      <c r="T20" s="166" t="b">
        <f>IF('Financement PFI'!$C$16="oui",$R$4,FALSE)</f>
        <v>0</v>
      </c>
      <c r="U20" s="61"/>
      <c r="V20" s="71" t="s">
        <v>88</v>
      </c>
      <c r="W20" s="61"/>
      <c r="X20" s="63">
        <v>16</v>
      </c>
      <c r="Y20" s="78">
        <v>1</v>
      </c>
      <c r="Z20" s="61"/>
      <c r="AA20" s="71" t="s">
        <v>88</v>
      </c>
      <c r="AB20" s="61"/>
      <c r="AC20" s="63">
        <v>16</v>
      </c>
      <c r="AD20" s="79" t="e" cm="1">
        <f t="array" ref="AD20">IF('Financement PFI'!$E$10&lt;=19,791882,IF('Financement PFI'!$E$10&gt;=20,macros!$AA$4:$AB$4))-O20</f>
        <v>#N/A</v>
      </c>
      <c r="AE20" s="61"/>
      <c r="AF20" s="71" t="s">
        <v>88</v>
      </c>
      <c r="AG20" s="61"/>
      <c r="AH20" s="63">
        <v>16</v>
      </c>
      <c r="AI20" s="76">
        <f>'Financement PFI'!$C$9*'RB PFI 2025-2026'!$G$5</f>
        <v>0</v>
      </c>
      <c r="AK20" s="71" t="s">
        <v>138</v>
      </c>
      <c r="AL20" s="223"/>
      <c r="AM20" s="222">
        <v>9</v>
      </c>
      <c r="AN20" s="76"/>
    </row>
    <row r="21" spans="1:40" x14ac:dyDescent="0.35">
      <c r="B21" s="71" t="s">
        <v>89</v>
      </c>
      <c r="D21" s="81">
        <v>17</v>
      </c>
      <c r="E21" s="73">
        <v>0.4</v>
      </c>
      <c r="F21" s="61"/>
      <c r="G21" s="71" t="s">
        <v>89</v>
      </c>
      <c r="I21" s="81">
        <v>17</v>
      </c>
      <c r="J21" s="75" t="e">
        <f>I5</f>
        <v>#N/A</v>
      </c>
      <c r="K21" s="61"/>
      <c r="L21" s="71" t="s">
        <v>89</v>
      </c>
      <c r="N21" s="81">
        <v>17</v>
      </c>
      <c r="O21" s="76"/>
      <c r="P21" s="61"/>
      <c r="Q21" s="71" t="s">
        <v>89</v>
      </c>
      <c r="S21" s="81">
        <v>17</v>
      </c>
      <c r="T21" s="77">
        <v>1</v>
      </c>
      <c r="U21" s="61"/>
      <c r="V21" s="71" t="s">
        <v>89</v>
      </c>
      <c r="X21" s="81">
        <v>17</v>
      </c>
      <c r="Y21" s="78">
        <f>IF('Financement PFI'!$C$14="oui",$X$5,1)</f>
        <v>1</v>
      </c>
      <c r="Z21" s="61"/>
      <c r="AA21" s="71" t="s">
        <v>89</v>
      </c>
      <c r="AC21" s="81">
        <v>17</v>
      </c>
      <c r="AD21" s="79" cm="1">
        <f t="array" ref="AD21">IF('Financement PFI'!$E$10&lt;=19,791882,IF('Financement PFI'!$E$10&gt;=20,macros!$AA$4:$AB$4))</f>
        <v>791882</v>
      </c>
      <c r="AE21" s="61"/>
      <c r="AF21" s="71" t="s">
        <v>89</v>
      </c>
      <c r="AH21" s="81">
        <v>17</v>
      </c>
      <c r="AI21" s="76">
        <f>'Financement PFI'!$C$8*'RB PFI 2025-2026'!$G$5</f>
        <v>0</v>
      </c>
      <c r="AK21" s="71" t="s">
        <v>139</v>
      </c>
      <c r="AL21" s="222"/>
      <c r="AM21" s="222">
        <v>10</v>
      </c>
      <c r="AN21" s="220"/>
    </row>
    <row r="22" spans="1:40" x14ac:dyDescent="0.35">
      <c r="B22" s="71" t="s">
        <v>90</v>
      </c>
      <c r="D22" s="81">
        <v>18</v>
      </c>
      <c r="E22" s="73">
        <v>1</v>
      </c>
      <c r="F22" s="61"/>
      <c r="G22" s="71" t="s">
        <v>90</v>
      </c>
      <c r="I22" s="81">
        <v>18</v>
      </c>
      <c r="J22" s="75" t="e">
        <f>I5</f>
        <v>#N/A</v>
      </c>
      <c r="K22" s="61"/>
      <c r="L22" s="71" t="s">
        <v>90</v>
      </c>
      <c r="N22" s="81">
        <v>18</v>
      </c>
      <c r="O22" s="76"/>
      <c r="P22" s="61"/>
      <c r="Q22" s="71" t="s">
        <v>90</v>
      </c>
      <c r="S22" s="81">
        <v>18</v>
      </c>
      <c r="T22" s="78" t="b">
        <f>IF('Financement PFI'!$C$16="oui",$S$4,FALSE)</f>
        <v>0</v>
      </c>
      <c r="U22" s="61"/>
      <c r="V22" s="71" t="s">
        <v>90</v>
      </c>
      <c r="X22" s="81">
        <v>18</v>
      </c>
      <c r="Y22" s="78">
        <v>1</v>
      </c>
      <c r="Z22" s="61"/>
      <c r="AA22" s="71" t="s">
        <v>90</v>
      </c>
      <c r="AC22" s="81">
        <v>18</v>
      </c>
      <c r="AD22" s="79" cm="1">
        <f t="array" ref="AD22">IF('Financement PFI'!$E$10&lt;=19,791882,IF('Financement PFI'!$E$10&gt;=20,macros!$AA$4:$AB$4))</f>
        <v>791882</v>
      </c>
      <c r="AE22" s="61"/>
      <c r="AF22" s="71" t="s">
        <v>90</v>
      </c>
      <c r="AH22" s="81">
        <v>18</v>
      </c>
      <c r="AI22" s="76">
        <f>'Financement PFI'!$C$8*'RB PFI 2025-2026'!$G$5</f>
        <v>0</v>
      </c>
      <c r="AK22" s="71" t="s">
        <v>83</v>
      </c>
      <c r="AL22" s="221"/>
      <c r="AM22" s="222">
        <v>11</v>
      </c>
      <c r="AN22" s="220">
        <f t="shared" ref="AN22:AN27" si="0">$AN$8*$AN$7</f>
        <v>0</v>
      </c>
    </row>
    <row r="23" spans="1:40" ht="15" thickBot="1" x14ac:dyDescent="0.4">
      <c r="B23" s="82" t="s">
        <v>91</v>
      </c>
      <c r="C23" s="83"/>
      <c r="D23" s="84">
        <v>19</v>
      </c>
      <c r="E23" s="85">
        <v>1</v>
      </c>
      <c r="F23" s="61"/>
      <c r="G23" s="82" t="s">
        <v>91</v>
      </c>
      <c r="H23" s="86"/>
      <c r="I23" s="84">
        <v>19</v>
      </c>
      <c r="J23" s="88" t="e">
        <f>I5</f>
        <v>#N/A</v>
      </c>
      <c r="K23" s="61"/>
      <c r="L23" s="82" t="s">
        <v>91</v>
      </c>
      <c r="M23" s="83"/>
      <c r="N23" s="84">
        <v>19</v>
      </c>
      <c r="O23" s="89"/>
      <c r="P23" s="61"/>
      <c r="Q23" s="82" t="s">
        <v>91</v>
      </c>
      <c r="R23" s="83"/>
      <c r="S23" s="84">
        <v>19</v>
      </c>
      <c r="T23" s="90">
        <v>1</v>
      </c>
      <c r="U23" s="61"/>
      <c r="V23" s="82" t="s">
        <v>91</v>
      </c>
      <c r="W23" s="83"/>
      <c r="X23" s="84">
        <v>19</v>
      </c>
      <c r="Y23" s="78">
        <v>1</v>
      </c>
      <c r="Z23" s="61"/>
      <c r="AA23" s="82" t="s">
        <v>91</v>
      </c>
      <c r="AB23" s="83"/>
      <c r="AC23" s="84">
        <v>19</v>
      </c>
      <c r="AD23" s="79" cm="1">
        <f t="array" ref="AD23">IF('Financement PFI'!$E$10&lt;=19,791882,IF('Financement PFI'!$E$10&gt;=20,macros!$AA$4:$AB$4))</f>
        <v>791882</v>
      </c>
      <c r="AE23" s="61"/>
      <c r="AF23" s="82" t="s">
        <v>91</v>
      </c>
      <c r="AG23" s="83"/>
      <c r="AH23" s="84">
        <v>19</v>
      </c>
      <c r="AI23" s="76">
        <f>'Financement PFI'!$C$8*'RB PFI 2025-2026'!$G$5</f>
        <v>0</v>
      </c>
      <c r="AK23" s="71" t="s">
        <v>84</v>
      </c>
      <c r="AL23" s="221"/>
      <c r="AM23" s="222">
        <v>12</v>
      </c>
      <c r="AN23" s="220">
        <f t="shared" si="0"/>
        <v>0</v>
      </c>
    </row>
    <row r="24" spans="1:40" x14ac:dyDescent="0.35">
      <c r="AK24" s="71" t="s">
        <v>85</v>
      </c>
      <c r="AL24" s="221"/>
      <c r="AM24" s="222">
        <v>13</v>
      </c>
      <c r="AN24" s="220">
        <f t="shared" si="0"/>
        <v>0</v>
      </c>
    </row>
    <row r="25" spans="1:40" ht="15" thickBot="1" x14ac:dyDescent="0.4">
      <c r="AK25" s="71" t="s">
        <v>86</v>
      </c>
      <c r="AL25" s="221"/>
      <c r="AM25" s="222">
        <v>14</v>
      </c>
      <c r="AN25" s="220">
        <f t="shared" si="0"/>
        <v>0</v>
      </c>
    </row>
    <row r="26" spans="1:40" x14ac:dyDescent="0.35">
      <c r="B26" s="92" t="s">
        <v>203</v>
      </c>
      <c r="AK26" s="71" t="s">
        <v>87</v>
      </c>
      <c r="AL26" s="221"/>
      <c r="AM26" s="222">
        <v>15</v>
      </c>
      <c r="AN26" s="220">
        <f t="shared" si="0"/>
        <v>0</v>
      </c>
    </row>
    <row r="27" spans="1:40" ht="15" thickBot="1" x14ac:dyDescent="0.4">
      <c r="B27" s="93" t="s">
        <v>204</v>
      </c>
      <c r="AK27" s="71" t="s">
        <v>88</v>
      </c>
      <c r="AL27" s="224"/>
      <c r="AM27" s="225">
        <v>16</v>
      </c>
      <c r="AN27" s="220">
        <f t="shared" si="0"/>
        <v>0</v>
      </c>
    </row>
    <row r="28" spans="1:40" x14ac:dyDescent="0.35">
      <c r="B28" s="91"/>
      <c r="AK28" s="71" t="s">
        <v>89</v>
      </c>
      <c r="AL28" s="224"/>
      <c r="AM28" s="225">
        <v>17</v>
      </c>
      <c r="AN28" s="76"/>
    </row>
    <row r="29" spans="1:40" x14ac:dyDescent="0.35">
      <c r="A29" s="282" t="s">
        <v>133</v>
      </c>
      <c r="B29" s="282"/>
      <c r="C29" s="282"/>
      <c r="AK29" s="71" t="s">
        <v>90</v>
      </c>
      <c r="AL29" s="221"/>
      <c r="AM29" s="222">
        <v>18</v>
      </c>
      <c r="AN29" s="76"/>
    </row>
    <row r="30" spans="1:40" ht="15" thickBot="1" x14ac:dyDescent="0.4">
      <c r="B30" s="272" t="s">
        <v>135</v>
      </c>
      <c r="C30" s="273"/>
      <c r="D30" s="273"/>
      <c r="E30" s="274"/>
      <c r="F30" s="272" t="s">
        <v>136</v>
      </c>
      <c r="G30" s="273"/>
      <c r="H30" s="273"/>
      <c r="I30" s="274"/>
      <c r="J30" s="272" t="s">
        <v>137</v>
      </c>
      <c r="K30" s="273"/>
      <c r="L30" s="273"/>
      <c r="M30" s="274"/>
      <c r="N30" s="61"/>
      <c r="O30" s="61"/>
      <c r="P30" s="61"/>
      <c r="Q30" s="61"/>
      <c r="R30" s="61"/>
      <c r="AK30" s="82" t="s">
        <v>91</v>
      </c>
      <c r="AL30" s="226"/>
      <c r="AM30" s="226"/>
      <c r="AN30" s="227"/>
    </row>
    <row r="31" spans="1:40" x14ac:dyDescent="0.35">
      <c r="B31" s="94">
        <f>'RB PFI 2025-2026'!W8</f>
        <v>1088</v>
      </c>
      <c r="C31" s="61">
        <f>'RB PFI 2025-2026'!W113</f>
        <v>273</v>
      </c>
      <c r="D31" s="63">
        <v>1</v>
      </c>
      <c r="E31" s="66"/>
      <c r="F31" s="94">
        <f>'RB PFI 2025-2026'!V113</f>
        <v>1088</v>
      </c>
      <c r="G31" s="61"/>
      <c r="H31" s="63">
        <v>1</v>
      </c>
      <c r="I31" s="66"/>
      <c r="J31" s="72">
        <f>'RB PFI 2025-2026'!U8</f>
        <v>32709</v>
      </c>
      <c r="K31" s="72">
        <f>'RB PFI 2025-2026'!U48</f>
        <v>65419</v>
      </c>
      <c r="L31" s="72">
        <f>'RB PFI 2025-2026'!U88</f>
        <v>65419</v>
      </c>
      <c r="M31" s="63">
        <v>1</v>
      </c>
      <c r="N31" s="66">
        <v>0</v>
      </c>
      <c r="O31" s="61"/>
      <c r="P31" s="61"/>
      <c r="Q31" s="61"/>
      <c r="R31" s="61"/>
    </row>
    <row r="32" spans="1:40" x14ac:dyDescent="0.35">
      <c r="B32" s="71" t="s">
        <v>74</v>
      </c>
      <c r="C32" s="72"/>
      <c r="D32" s="63">
        <v>2</v>
      </c>
      <c r="E32" s="188">
        <f>'Financement PFI'!$E$9*$B$31</f>
        <v>0</v>
      </c>
      <c r="F32" s="110" t="s">
        <v>74</v>
      </c>
      <c r="G32" s="72"/>
      <c r="H32" s="63">
        <v>2</v>
      </c>
      <c r="I32" s="75">
        <f>IF($P$38&gt;=1,($F$31*'Financement PFI'!$C$9),0)</f>
        <v>0</v>
      </c>
      <c r="J32" s="110" t="s">
        <v>74</v>
      </c>
      <c r="M32" s="63">
        <v>2</v>
      </c>
      <c r="N32" s="95" cm="1">
        <f t="array" ref="N32">_xlfn.SWITCH($O$36,1,$J$31,2,$K$31,3,$L$31)</f>
        <v>32709</v>
      </c>
      <c r="O32" s="278" t="s">
        <v>92</v>
      </c>
      <c r="P32" s="279"/>
      <c r="Q32" s="96">
        <f>IF(($P$40)&gt;=1,1,0)</f>
        <v>0</v>
      </c>
      <c r="R32" s="96">
        <f>IF(($O$36)&gt;=2,1,0)</f>
        <v>0</v>
      </c>
    </row>
    <row r="33" spans="2:18" x14ac:dyDescent="0.35">
      <c r="B33" s="71" t="s">
        <v>75</v>
      </c>
      <c r="C33" s="61"/>
      <c r="D33" s="63">
        <v>3</v>
      </c>
      <c r="E33" s="188">
        <f>+((($P$38*5)+($P$39*8))*$B$31)+($C$31*'Financement PFI'!$E$8)</f>
        <v>0</v>
      </c>
      <c r="F33" s="110" t="s">
        <v>75</v>
      </c>
      <c r="G33" s="61"/>
      <c r="H33" s="63">
        <v>3</v>
      </c>
      <c r="I33" s="75">
        <f>($P$38*5)*$F$31</f>
        <v>0</v>
      </c>
      <c r="J33" s="110" t="s">
        <v>75</v>
      </c>
      <c r="K33" s="61"/>
      <c r="L33" s="61"/>
      <c r="M33" s="63">
        <v>3</v>
      </c>
      <c r="N33" s="174">
        <f>IF(($Q$32+$R$32)&gt;=2,$J$31,0)</f>
        <v>0</v>
      </c>
      <c r="O33" s="98">
        <f>IF('Financement PFI'!$E$8&lt;=40,$P$33,0)</f>
        <v>1</v>
      </c>
      <c r="P33" s="99">
        <v>1</v>
      </c>
      <c r="Q33" s="61"/>
      <c r="R33" s="61"/>
    </row>
    <row r="34" spans="2:18" x14ac:dyDescent="0.35">
      <c r="B34" s="71" t="s">
        <v>77</v>
      </c>
      <c r="C34" s="61"/>
      <c r="D34" s="63">
        <v>4</v>
      </c>
      <c r="E34" s="188">
        <f>'Financement PFI'!$E$8*$C$31</f>
        <v>0</v>
      </c>
      <c r="F34" s="110" t="s">
        <v>77</v>
      </c>
      <c r="G34" s="61"/>
      <c r="H34" s="63">
        <v>4</v>
      </c>
      <c r="I34" s="80">
        <v>0</v>
      </c>
      <c r="J34" s="110" t="s">
        <v>77</v>
      </c>
      <c r="K34" s="61"/>
      <c r="L34" s="61"/>
      <c r="M34" s="63">
        <v>4</v>
      </c>
      <c r="N34" s="167">
        <v>0</v>
      </c>
      <c r="O34" s="98">
        <f>IF('Financement PFI'!$E$10&gt;=41,$P$34,0)</f>
        <v>0</v>
      </c>
      <c r="P34" s="99">
        <v>1</v>
      </c>
      <c r="Q34" s="61"/>
      <c r="R34" s="61"/>
    </row>
    <row r="35" spans="2:18" x14ac:dyDescent="0.35">
      <c r="B35" s="71" t="s">
        <v>78</v>
      </c>
      <c r="C35" s="61"/>
      <c r="D35" s="63">
        <v>5</v>
      </c>
      <c r="E35" s="188">
        <f>'Financement PFI'!$E$9*$B$31</f>
        <v>0</v>
      </c>
      <c r="F35" s="71" t="s">
        <v>78</v>
      </c>
      <c r="G35" s="61"/>
      <c r="H35" s="63">
        <v>5</v>
      </c>
      <c r="I35" s="75">
        <f>IF($P$38&gt;=1,($F$31*'Financement PFI'!$C$9),0)</f>
        <v>0</v>
      </c>
      <c r="J35" s="71" t="s">
        <v>78</v>
      </c>
      <c r="K35" s="61"/>
      <c r="L35" s="61"/>
      <c r="M35" s="63">
        <v>5</v>
      </c>
      <c r="N35" s="95" cm="1">
        <f t="array" ref="N35">_xlfn.SWITCH($O$36,1,$J$31,2,$K$31,3,$L$31)</f>
        <v>32709</v>
      </c>
      <c r="O35" s="98">
        <f>IF('Financement PFI'!$E$10&gt;=101,$P$35,0)</f>
        <v>0</v>
      </c>
      <c r="P35" s="99">
        <v>1</v>
      </c>
      <c r="Q35" s="61"/>
      <c r="R35" s="61"/>
    </row>
    <row r="36" spans="2:18" x14ac:dyDescent="0.35">
      <c r="B36" s="190" t="s">
        <v>79</v>
      </c>
      <c r="C36" s="191"/>
      <c r="D36" s="63">
        <v>6</v>
      </c>
      <c r="E36" s="188">
        <f>+((($P$38*5)+($P$39*8))*$B$31)+($C$31*'Financement PFI'!$E$8)</f>
        <v>0</v>
      </c>
      <c r="F36" s="71" t="s">
        <v>79</v>
      </c>
      <c r="G36" s="61"/>
      <c r="H36" s="63">
        <v>6</v>
      </c>
      <c r="I36" s="173">
        <f>($P$38*5)*$F$31</f>
        <v>0</v>
      </c>
      <c r="J36" s="71" t="s">
        <v>79</v>
      </c>
      <c r="K36" s="61"/>
      <c r="L36" s="61"/>
      <c r="M36" s="63">
        <v>6</v>
      </c>
      <c r="N36" s="174">
        <f>IF(($Q$32+$R$32)&gt;=2,$J$31,0)</f>
        <v>0</v>
      </c>
      <c r="O36" s="100">
        <f>SUM(O33:O35)</f>
        <v>1</v>
      </c>
      <c r="P36" s="101"/>
      <c r="Q36" s="61"/>
      <c r="R36" s="61"/>
    </row>
    <row r="37" spans="2:18" x14ac:dyDescent="0.35">
      <c r="B37" s="71" t="s">
        <v>80</v>
      </c>
      <c r="C37" s="61"/>
      <c r="D37" s="63">
        <v>7</v>
      </c>
      <c r="E37" s="188">
        <f>'Financement PFI'!$E$8*$C$31</f>
        <v>0</v>
      </c>
      <c r="F37" s="71" t="s">
        <v>80</v>
      </c>
      <c r="G37" s="61"/>
      <c r="H37" s="63">
        <v>7</v>
      </c>
      <c r="I37" s="80">
        <v>0</v>
      </c>
      <c r="J37" s="71" t="s">
        <v>80</v>
      </c>
      <c r="K37" s="61"/>
      <c r="L37" s="61"/>
      <c r="M37" s="63">
        <v>7</v>
      </c>
      <c r="N37" s="167">
        <v>0</v>
      </c>
      <c r="O37" s="134" t="s">
        <v>93</v>
      </c>
      <c r="P37" s="102"/>
      <c r="Q37" s="61"/>
      <c r="R37" s="61"/>
    </row>
    <row r="38" spans="2:18" x14ac:dyDescent="0.35">
      <c r="B38" s="71" t="s">
        <v>81</v>
      </c>
      <c r="C38" s="61"/>
      <c r="D38" s="63">
        <v>8</v>
      </c>
      <c r="E38" s="188">
        <f>'Financement PFI'!$E$9*$B$31</f>
        <v>0</v>
      </c>
      <c r="F38" s="110" t="s">
        <v>81</v>
      </c>
      <c r="G38" s="61"/>
      <c r="H38" s="63">
        <v>8</v>
      </c>
      <c r="I38" s="75">
        <f>IF($P$38&gt;=1,($F$31*'Financement PFI'!$C$9),0)</f>
        <v>0</v>
      </c>
      <c r="J38" s="110" t="s">
        <v>81</v>
      </c>
      <c r="K38" s="61"/>
      <c r="L38" s="61"/>
      <c r="M38" s="63">
        <v>8</v>
      </c>
      <c r="N38" s="95" cm="1">
        <f t="array" ref="N38">_xlfn.SWITCH($O$36,1,$J$31,2,$K$31,3,$L$31)</f>
        <v>32709</v>
      </c>
      <c r="O38" s="98" t="s">
        <v>94</v>
      </c>
      <c r="P38" s="103">
        <f>((ROUNDDOWN(('Financement PFI'!$C$9/5),0)))</f>
        <v>0</v>
      </c>
      <c r="Q38" s="61"/>
      <c r="R38" s="61"/>
    </row>
    <row r="39" spans="2:18" x14ac:dyDescent="0.35">
      <c r="B39" s="71" t="s">
        <v>138</v>
      </c>
      <c r="C39" s="70"/>
      <c r="D39" s="63">
        <v>9</v>
      </c>
      <c r="E39" s="188">
        <f>+((($P$38*5)+($P$39*8))*$B$31)+($C$31*'Financement PFI'!$E$8)</f>
        <v>0</v>
      </c>
      <c r="F39" s="71" t="s">
        <v>138</v>
      </c>
      <c r="G39" s="70"/>
      <c r="H39" s="63">
        <v>9</v>
      </c>
      <c r="I39" s="75">
        <f>($P$38*5)*$F$31</f>
        <v>0</v>
      </c>
      <c r="J39" s="71" t="s">
        <v>138</v>
      </c>
      <c r="K39" s="70"/>
      <c r="L39" s="63"/>
      <c r="M39" s="63">
        <v>9</v>
      </c>
      <c r="N39" s="97">
        <f t="shared" ref="N39:N46" si="1">IF(($Q$32+$R$32)&gt;=2,$J$31,0)</f>
        <v>0</v>
      </c>
      <c r="O39" s="104" t="s">
        <v>95</v>
      </c>
      <c r="P39" s="105">
        <f>((ROUNDDOWN(('Financement PFI'!D9/8),0)))</f>
        <v>0</v>
      </c>
      <c r="Q39" s="61"/>
      <c r="R39" s="61"/>
    </row>
    <row r="40" spans="2:18" x14ac:dyDescent="0.35">
      <c r="B40" s="71" t="s">
        <v>139</v>
      </c>
      <c r="C40" s="70"/>
      <c r="D40" s="63">
        <v>10</v>
      </c>
      <c r="E40" s="188">
        <f>'Financement PFI'!$E$8*$C$31</f>
        <v>0</v>
      </c>
      <c r="F40" s="71" t="s">
        <v>139</v>
      </c>
      <c r="G40" s="70"/>
      <c r="H40" s="63">
        <v>10</v>
      </c>
      <c r="I40" s="75">
        <v>0</v>
      </c>
      <c r="J40" s="71" t="s">
        <v>139</v>
      </c>
      <c r="K40" s="70"/>
      <c r="L40" s="63"/>
      <c r="M40" s="63">
        <v>10</v>
      </c>
      <c r="N40" s="97"/>
      <c r="O40" s="104"/>
      <c r="P40" s="106">
        <f>SUM(P38:P39)</f>
        <v>0</v>
      </c>
      <c r="Q40" s="61"/>
      <c r="R40" s="61"/>
    </row>
    <row r="41" spans="2:18" x14ac:dyDescent="0.35">
      <c r="B41" s="71" t="s">
        <v>83</v>
      </c>
      <c r="C41" s="63"/>
      <c r="D41" s="63">
        <v>11</v>
      </c>
      <c r="E41" s="188">
        <f>+((($P$38*5)+($P$39*8))*$B$31)</f>
        <v>0</v>
      </c>
      <c r="F41" s="71" t="s">
        <v>83</v>
      </c>
      <c r="G41" s="63"/>
      <c r="H41" s="63">
        <v>11</v>
      </c>
      <c r="I41" s="75">
        <f t="shared" ref="I41:I46" si="2">($P$38*5)*$F$31</f>
        <v>0</v>
      </c>
      <c r="J41" s="71" t="s">
        <v>83</v>
      </c>
      <c r="K41" s="63"/>
      <c r="L41" s="63"/>
      <c r="M41" s="63">
        <v>11</v>
      </c>
      <c r="N41" s="97">
        <f t="shared" si="1"/>
        <v>0</v>
      </c>
      <c r="O41" s="100"/>
      <c r="P41" s="106"/>
      <c r="Q41" s="61"/>
      <c r="R41" s="61"/>
    </row>
    <row r="42" spans="2:18" x14ac:dyDescent="0.35">
      <c r="B42" s="71" t="s">
        <v>84</v>
      </c>
      <c r="C42" s="61"/>
      <c r="D42" s="63">
        <v>12</v>
      </c>
      <c r="E42" s="188">
        <f t="shared" ref="E42:E46" si="3">+((($P$38*5)+($P$39*8))*$B$31)</f>
        <v>0</v>
      </c>
      <c r="F42" s="71" t="s">
        <v>84</v>
      </c>
      <c r="G42" s="61"/>
      <c r="H42" s="63">
        <v>12</v>
      </c>
      <c r="I42" s="75">
        <f t="shared" si="2"/>
        <v>0</v>
      </c>
      <c r="J42" s="71" t="s">
        <v>84</v>
      </c>
      <c r="K42" s="61"/>
      <c r="L42" s="63"/>
      <c r="M42" s="63">
        <v>12</v>
      </c>
      <c r="N42" s="97">
        <f t="shared" si="1"/>
        <v>0</v>
      </c>
      <c r="O42" s="61"/>
      <c r="P42" s="61"/>
      <c r="Q42" s="61"/>
      <c r="R42" s="61"/>
    </row>
    <row r="43" spans="2:18" x14ac:dyDescent="0.35">
      <c r="B43" s="71" t="s">
        <v>85</v>
      </c>
      <c r="C43" s="61"/>
      <c r="D43" s="63">
        <v>13</v>
      </c>
      <c r="E43" s="188">
        <f t="shared" si="3"/>
        <v>0</v>
      </c>
      <c r="F43" s="71" t="s">
        <v>85</v>
      </c>
      <c r="G43" s="61"/>
      <c r="H43" s="63">
        <v>13</v>
      </c>
      <c r="I43" s="75">
        <f t="shared" si="2"/>
        <v>0</v>
      </c>
      <c r="J43" s="71" t="s">
        <v>85</v>
      </c>
      <c r="K43" s="61"/>
      <c r="L43" s="63"/>
      <c r="M43" s="63">
        <v>13</v>
      </c>
      <c r="N43" s="97">
        <f t="shared" si="1"/>
        <v>0</v>
      </c>
      <c r="O43" s="107"/>
      <c r="P43" s="61"/>
      <c r="Q43" s="61"/>
      <c r="R43" s="61"/>
    </row>
    <row r="44" spans="2:18" x14ac:dyDescent="0.35">
      <c r="B44" s="71" t="s">
        <v>86</v>
      </c>
      <c r="C44" s="61"/>
      <c r="D44" s="63">
        <v>14</v>
      </c>
      <c r="E44" s="188">
        <f t="shared" si="3"/>
        <v>0</v>
      </c>
      <c r="F44" s="71" t="s">
        <v>86</v>
      </c>
      <c r="G44" s="61"/>
      <c r="H44" s="63">
        <v>14</v>
      </c>
      <c r="I44" s="75">
        <f t="shared" si="2"/>
        <v>0</v>
      </c>
      <c r="J44" s="71" t="s">
        <v>86</v>
      </c>
      <c r="K44" s="61"/>
      <c r="L44" s="63"/>
      <c r="M44" s="63">
        <v>14</v>
      </c>
      <c r="N44" s="97">
        <f t="shared" si="1"/>
        <v>0</v>
      </c>
      <c r="O44" s="61"/>
      <c r="P44" s="61"/>
      <c r="Q44" s="61"/>
      <c r="R44" s="61"/>
    </row>
    <row r="45" spans="2:18" x14ac:dyDescent="0.35">
      <c r="B45" s="71" t="s">
        <v>87</v>
      </c>
      <c r="C45" s="61"/>
      <c r="D45" s="63">
        <v>15</v>
      </c>
      <c r="E45" s="188">
        <f t="shared" si="3"/>
        <v>0</v>
      </c>
      <c r="F45" s="71" t="s">
        <v>87</v>
      </c>
      <c r="G45" s="61"/>
      <c r="H45" s="63">
        <v>15</v>
      </c>
      <c r="I45" s="75">
        <f t="shared" si="2"/>
        <v>0</v>
      </c>
      <c r="J45" s="71" t="s">
        <v>87</v>
      </c>
      <c r="K45" s="61"/>
      <c r="L45" s="63"/>
      <c r="M45" s="63">
        <v>15</v>
      </c>
      <c r="N45" s="97">
        <f t="shared" si="1"/>
        <v>0</v>
      </c>
      <c r="O45" s="61"/>
      <c r="P45" s="61"/>
      <c r="Q45" s="61"/>
      <c r="R45" s="61"/>
    </row>
    <row r="46" spans="2:18" x14ac:dyDescent="0.35">
      <c r="B46" s="71" t="s">
        <v>88</v>
      </c>
      <c r="C46" s="61"/>
      <c r="D46" s="63">
        <v>16</v>
      </c>
      <c r="E46" s="188">
        <f t="shared" si="3"/>
        <v>0</v>
      </c>
      <c r="F46" s="71" t="s">
        <v>88</v>
      </c>
      <c r="G46" s="61"/>
      <c r="H46" s="63">
        <v>16</v>
      </c>
      <c r="I46" s="75">
        <f t="shared" si="2"/>
        <v>0</v>
      </c>
      <c r="J46" s="71" t="s">
        <v>88</v>
      </c>
      <c r="K46" s="61"/>
      <c r="L46" s="63"/>
      <c r="M46" s="63">
        <v>16</v>
      </c>
      <c r="N46" s="97">
        <f t="shared" si="1"/>
        <v>0</v>
      </c>
      <c r="O46" s="61"/>
      <c r="P46" s="61"/>
      <c r="Q46" s="61"/>
      <c r="R46" s="61"/>
    </row>
    <row r="47" spans="2:18" x14ac:dyDescent="0.35">
      <c r="B47" s="71" t="s">
        <v>89</v>
      </c>
      <c r="D47" s="81">
        <v>17</v>
      </c>
      <c r="E47" s="188">
        <v>0</v>
      </c>
      <c r="F47" s="71" t="s">
        <v>89</v>
      </c>
      <c r="H47" s="81">
        <v>17</v>
      </c>
      <c r="I47" s="80">
        <v>0</v>
      </c>
      <c r="J47" s="71" t="s">
        <v>89</v>
      </c>
      <c r="L47" s="81"/>
      <c r="M47" s="81">
        <v>17</v>
      </c>
      <c r="N47" s="108">
        <v>0</v>
      </c>
      <c r="Q47" s="61"/>
      <c r="R47" s="61"/>
    </row>
    <row r="48" spans="2:18" x14ac:dyDescent="0.35">
      <c r="B48" s="71" t="s">
        <v>90</v>
      </c>
      <c r="D48" s="81">
        <v>18</v>
      </c>
      <c r="E48" s="188">
        <v>0</v>
      </c>
      <c r="F48" s="71" t="s">
        <v>90</v>
      </c>
      <c r="H48" s="81">
        <v>18</v>
      </c>
      <c r="I48" s="80">
        <v>0</v>
      </c>
      <c r="J48" s="71" t="s">
        <v>90</v>
      </c>
      <c r="L48" s="81"/>
      <c r="M48" s="81">
        <v>18</v>
      </c>
      <c r="N48" s="80">
        <v>0</v>
      </c>
      <c r="Q48" s="61"/>
      <c r="R48" s="61"/>
    </row>
    <row r="49" spans="1:18" ht="15" thickBot="1" x14ac:dyDescent="0.4">
      <c r="B49" s="82" t="s">
        <v>91</v>
      </c>
      <c r="C49" s="83"/>
      <c r="D49" s="84">
        <v>19</v>
      </c>
      <c r="E49" s="189">
        <v>0</v>
      </c>
      <c r="F49" s="82" t="s">
        <v>91</v>
      </c>
      <c r="G49" s="83"/>
      <c r="H49" s="84">
        <v>19</v>
      </c>
      <c r="I49" s="109">
        <v>0</v>
      </c>
      <c r="J49" s="82" t="s">
        <v>91</v>
      </c>
      <c r="K49" s="83"/>
      <c r="L49" s="84"/>
      <c r="M49" s="84">
        <v>19</v>
      </c>
      <c r="N49" s="109">
        <v>0</v>
      </c>
      <c r="O49" s="61"/>
      <c r="P49" s="61"/>
      <c r="Q49" s="61"/>
      <c r="R49" s="61"/>
    </row>
    <row r="52" spans="1:18" x14ac:dyDescent="0.35">
      <c r="A52" s="282" t="s">
        <v>134</v>
      </c>
      <c r="B52" s="282"/>
      <c r="C52" s="282"/>
      <c r="G52" s="283" t="s">
        <v>118</v>
      </c>
      <c r="H52" s="283"/>
      <c r="I52" s="283"/>
    </row>
    <row r="53" spans="1:18" x14ac:dyDescent="0.35">
      <c r="B53" s="272" t="s">
        <v>145</v>
      </c>
      <c r="C53" s="293"/>
      <c r="D53" s="293"/>
      <c r="E53" s="294"/>
      <c r="G53" s="272" t="s">
        <v>144</v>
      </c>
      <c r="H53" s="273"/>
      <c r="I53" s="273"/>
      <c r="J53" s="274"/>
    </row>
    <row r="54" spans="1:18" x14ac:dyDescent="0.35">
      <c r="B54" s="94"/>
      <c r="C54" s="61"/>
      <c r="D54" s="63">
        <v>1</v>
      </c>
      <c r="E54" s="66"/>
      <c r="G54" s="94">
        <f>'RB PFI 2025-2026'!AI5</f>
        <v>872</v>
      </c>
      <c r="H54" s="72">
        <f>'RB PFI 2025-2026'!AI6</f>
        <v>219</v>
      </c>
      <c r="I54" s="63">
        <v>1</v>
      </c>
      <c r="J54" s="66"/>
    </row>
    <row r="55" spans="1:18" x14ac:dyDescent="0.35">
      <c r="B55" s="110" t="s">
        <v>74</v>
      </c>
      <c r="C55" s="61"/>
      <c r="D55" s="63">
        <v>2</v>
      </c>
      <c r="E55" s="80">
        <f>+ROUND(('Financement PFI'!$L$21*0.07),2)</f>
        <v>0</v>
      </c>
      <c r="G55" s="110" t="s">
        <v>74</v>
      </c>
      <c r="I55" s="63">
        <v>2</v>
      </c>
      <c r="J55" s="80">
        <f>'Financement PFI'!$E$9*$G$54</f>
        <v>0</v>
      </c>
    </row>
    <row r="56" spans="1:18" x14ac:dyDescent="0.35">
      <c r="B56" s="110" t="s">
        <v>75</v>
      </c>
      <c r="C56" s="61"/>
      <c r="D56" s="63">
        <v>3</v>
      </c>
      <c r="E56" s="80">
        <f>+ROUND(('Financement PFI'!$L$21*0.07),2)</f>
        <v>0</v>
      </c>
      <c r="G56" s="110" t="s">
        <v>75</v>
      </c>
      <c r="H56" s="61"/>
      <c r="I56" s="63">
        <v>3</v>
      </c>
      <c r="J56" s="80">
        <f>+((($P$38*5)+($P$39*8))*$G$54)+($H$54*'Financement PFI'!$E$8)</f>
        <v>0</v>
      </c>
    </row>
    <row r="57" spans="1:18" x14ac:dyDescent="0.35">
      <c r="B57" s="110" t="s">
        <v>97</v>
      </c>
      <c r="C57" s="61"/>
      <c r="D57" s="63">
        <v>4</v>
      </c>
      <c r="E57" s="80">
        <f>+ROUND(('Financement PFI'!$L$21*0.07),2)</f>
        <v>0</v>
      </c>
      <c r="G57" s="110" t="s">
        <v>77</v>
      </c>
      <c r="H57" s="61"/>
      <c r="I57" s="63">
        <v>4</v>
      </c>
      <c r="J57" s="80">
        <f>'Financement PFI'!$E$8*$H$54</f>
        <v>0</v>
      </c>
    </row>
    <row r="58" spans="1:18" x14ac:dyDescent="0.35">
      <c r="B58" s="71" t="s">
        <v>78</v>
      </c>
      <c r="C58" s="61"/>
      <c r="D58" s="63">
        <v>5</v>
      </c>
      <c r="E58" s="80">
        <f>+ROUND(('Financement PFI'!$L$21*0.07),2)</f>
        <v>0</v>
      </c>
      <c r="G58" s="71" t="s">
        <v>78</v>
      </c>
      <c r="H58" s="61"/>
      <c r="I58" s="63">
        <v>5</v>
      </c>
      <c r="J58" s="80">
        <f>'Financement PFI'!$E$9*$G$54</f>
        <v>0</v>
      </c>
    </row>
    <row r="59" spans="1:18" x14ac:dyDescent="0.35">
      <c r="B59" s="71" t="s">
        <v>79</v>
      </c>
      <c r="C59" s="61"/>
      <c r="D59" s="63">
        <v>6</v>
      </c>
      <c r="E59" s="80">
        <f>+ROUND(('Financement PFI'!$L$21*0.07),2)</f>
        <v>0</v>
      </c>
      <c r="G59" s="71" t="s">
        <v>79</v>
      </c>
      <c r="H59" s="61"/>
      <c r="I59" s="63">
        <v>6</v>
      </c>
      <c r="J59" s="80">
        <f>+((($P$38*5)+($P$39*8))*$G$54)+($H$54*'Financement PFI'!$E$8)</f>
        <v>0</v>
      </c>
    </row>
    <row r="60" spans="1:18" x14ac:dyDescent="0.35">
      <c r="B60" s="71" t="s">
        <v>80</v>
      </c>
      <c r="C60" s="61"/>
      <c r="D60" s="63">
        <v>7</v>
      </c>
      <c r="E60" s="80">
        <f>+ROUND(('Financement PFI'!$L$21*0.07),2)</f>
        <v>0</v>
      </c>
      <c r="G60" s="71" t="s">
        <v>80</v>
      </c>
      <c r="H60" s="61"/>
      <c r="I60" s="63">
        <v>7</v>
      </c>
      <c r="J60" s="80">
        <f>'Financement PFI'!$E$8*$H$54</f>
        <v>0</v>
      </c>
    </row>
    <row r="61" spans="1:18" x14ac:dyDescent="0.35">
      <c r="B61" s="110" t="s">
        <v>81</v>
      </c>
      <c r="C61" s="61"/>
      <c r="D61" s="63">
        <v>8</v>
      </c>
      <c r="E61" s="80">
        <f>+ROUND(('Financement PFI'!$L$21*0.07),2)</f>
        <v>0</v>
      </c>
      <c r="G61" s="110" t="s">
        <v>81</v>
      </c>
      <c r="H61" s="61"/>
      <c r="I61" s="63">
        <v>8</v>
      </c>
      <c r="J61" s="80">
        <f>'Financement PFI'!$E$9*$G$54</f>
        <v>0</v>
      </c>
    </row>
    <row r="62" spans="1:18" x14ac:dyDescent="0.35">
      <c r="B62" s="71" t="s">
        <v>138</v>
      </c>
      <c r="C62" s="70"/>
      <c r="D62" s="63">
        <v>9</v>
      </c>
      <c r="E62" s="80">
        <f>+ROUND(('Financement PFI'!$L$21*0.07),2)</f>
        <v>0</v>
      </c>
      <c r="G62" s="71" t="s">
        <v>138</v>
      </c>
      <c r="H62" s="70"/>
      <c r="I62" s="63">
        <v>9</v>
      </c>
      <c r="J62" s="80">
        <f>+((($P$38*5)+($P$39*8))*$G$54)+($H$54*'Financement PFI'!$E$8)</f>
        <v>0</v>
      </c>
    </row>
    <row r="63" spans="1:18" x14ac:dyDescent="0.35">
      <c r="B63" s="71" t="s">
        <v>139</v>
      </c>
      <c r="C63" s="70"/>
      <c r="D63" s="63">
        <v>10</v>
      </c>
      <c r="E63" s="80">
        <f>+ROUND(('Financement PFI'!$L$21*0.07),2)</f>
        <v>0</v>
      </c>
      <c r="G63" s="71" t="s">
        <v>139</v>
      </c>
      <c r="H63" s="70"/>
      <c r="I63" s="63">
        <v>10</v>
      </c>
      <c r="J63" s="80">
        <f>'Financement PFI'!$E$8*$H$54</f>
        <v>0</v>
      </c>
    </row>
    <row r="64" spans="1:18" x14ac:dyDescent="0.35">
      <c r="B64" s="71" t="s">
        <v>83</v>
      </c>
      <c r="C64" s="63"/>
      <c r="D64" s="63">
        <v>11</v>
      </c>
      <c r="E64" s="80">
        <f>+ROUND(('Financement PFI'!$L$21*0.07),2)</f>
        <v>0</v>
      </c>
      <c r="G64" s="71" t="s">
        <v>83</v>
      </c>
      <c r="H64" s="63"/>
      <c r="I64" s="63">
        <v>11</v>
      </c>
      <c r="J64" s="80">
        <f>+((($P$38*5)+($P$39*8))*$G$54)</f>
        <v>0</v>
      </c>
    </row>
    <row r="65" spans="2:13" x14ac:dyDescent="0.35">
      <c r="B65" s="71" t="s">
        <v>84</v>
      </c>
      <c r="C65" s="61"/>
      <c r="D65" s="63">
        <v>12</v>
      </c>
      <c r="E65" s="80">
        <f>+ROUND(('Financement PFI'!$L$21*0.07),2)</f>
        <v>0</v>
      </c>
      <c r="G65" s="71" t="s">
        <v>84</v>
      </c>
      <c r="H65" s="61"/>
      <c r="I65" s="63">
        <v>12</v>
      </c>
      <c r="J65" s="80">
        <f t="shared" ref="J65:J69" si="4">+((($P$38*5)+($P$39*8))*$G$54)</f>
        <v>0</v>
      </c>
    </row>
    <row r="66" spans="2:13" x14ac:dyDescent="0.35">
      <c r="B66" s="71" t="s">
        <v>85</v>
      </c>
      <c r="C66" s="61"/>
      <c r="D66" s="63">
        <v>13</v>
      </c>
      <c r="E66" s="80">
        <v>0</v>
      </c>
      <c r="G66" s="71" t="s">
        <v>85</v>
      </c>
      <c r="H66" s="61"/>
      <c r="I66" s="63">
        <v>13</v>
      </c>
      <c r="J66" s="80">
        <f t="shared" si="4"/>
        <v>0</v>
      </c>
    </row>
    <row r="67" spans="2:13" x14ac:dyDescent="0.35">
      <c r="B67" s="71" t="s">
        <v>86</v>
      </c>
      <c r="C67" s="61"/>
      <c r="D67" s="63">
        <v>14</v>
      </c>
      <c r="E67" s="80">
        <v>0</v>
      </c>
      <c r="G67" s="71" t="s">
        <v>86</v>
      </c>
      <c r="H67" s="61"/>
      <c r="I67" s="63">
        <v>14</v>
      </c>
      <c r="J67" s="80">
        <f t="shared" si="4"/>
        <v>0</v>
      </c>
    </row>
    <row r="68" spans="2:13" x14ac:dyDescent="0.35">
      <c r="B68" s="71" t="s">
        <v>87</v>
      </c>
      <c r="C68" s="61"/>
      <c r="D68" s="63">
        <v>15</v>
      </c>
      <c r="E68" s="80">
        <v>0</v>
      </c>
      <c r="G68" s="71" t="s">
        <v>87</v>
      </c>
      <c r="H68" s="61"/>
      <c r="I68" s="63">
        <v>15</v>
      </c>
      <c r="J68" s="80">
        <f t="shared" si="4"/>
        <v>0</v>
      </c>
    </row>
    <row r="69" spans="2:13" x14ac:dyDescent="0.35">
      <c r="B69" s="71" t="s">
        <v>88</v>
      </c>
      <c r="C69" s="61"/>
      <c r="D69" s="63">
        <v>16</v>
      </c>
      <c r="E69" s="80">
        <v>0</v>
      </c>
      <c r="G69" s="71" t="s">
        <v>88</v>
      </c>
      <c r="H69" s="61"/>
      <c r="I69" s="63">
        <v>16</v>
      </c>
      <c r="J69" s="80">
        <f t="shared" si="4"/>
        <v>0</v>
      </c>
    </row>
    <row r="70" spans="2:13" x14ac:dyDescent="0.35">
      <c r="B70" s="71" t="s">
        <v>89</v>
      </c>
      <c r="D70" s="81">
        <v>17</v>
      </c>
      <c r="E70" s="80">
        <v>0</v>
      </c>
      <c r="G70" s="71" t="s">
        <v>89</v>
      </c>
      <c r="I70" s="81">
        <v>17</v>
      </c>
      <c r="J70" s="127"/>
    </row>
    <row r="71" spans="2:13" x14ac:dyDescent="0.35">
      <c r="B71" s="71" t="s">
        <v>90</v>
      </c>
      <c r="D71" s="81">
        <v>18</v>
      </c>
      <c r="E71" s="80">
        <v>0</v>
      </c>
      <c r="G71" s="71" t="s">
        <v>90</v>
      </c>
      <c r="I71" s="81">
        <v>18</v>
      </c>
      <c r="J71" s="128"/>
    </row>
    <row r="72" spans="2:13" ht="15" thickBot="1" x14ac:dyDescent="0.4">
      <c r="B72" s="82" t="s">
        <v>91</v>
      </c>
      <c r="C72" s="83"/>
      <c r="D72" s="84">
        <v>19</v>
      </c>
      <c r="E72" s="109"/>
      <c r="G72" s="82" t="s">
        <v>91</v>
      </c>
      <c r="H72" s="83"/>
      <c r="I72" s="84">
        <v>19</v>
      </c>
      <c r="J72" s="129"/>
    </row>
    <row r="75" spans="2:13" x14ac:dyDescent="0.35">
      <c r="B75" s="61"/>
      <c r="C75" s="61"/>
      <c r="D75" s="61"/>
      <c r="E75" s="61"/>
      <c r="J75" s="272" t="s">
        <v>148</v>
      </c>
      <c r="K75" s="273"/>
      <c r="L75" s="273"/>
      <c r="M75" s="274"/>
    </row>
    <row r="76" spans="2:13" ht="15" thickBot="1" x14ac:dyDescent="0.4">
      <c r="B76" s="61"/>
      <c r="C76" s="61"/>
      <c r="D76" s="61"/>
      <c r="E76" s="61"/>
      <c r="J76" s="272" t="s">
        <v>148</v>
      </c>
      <c r="K76" s="273"/>
      <c r="L76" s="273"/>
      <c r="M76" s="274"/>
    </row>
    <row r="77" spans="2:13" ht="15" thickBot="1" x14ac:dyDescent="0.4">
      <c r="B77" s="284" t="s">
        <v>126</v>
      </c>
      <c r="C77" s="285"/>
      <c r="D77" s="286"/>
      <c r="J77" s="94"/>
      <c r="K77" s="61"/>
      <c r="L77" s="63">
        <v>1</v>
      </c>
      <c r="M77" s="66"/>
    </row>
    <row r="78" spans="2:13" x14ac:dyDescent="0.35">
      <c r="J78" s="110" t="s">
        <v>74</v>
      </c>
      <c r="K78" s="61"/>
      <c r="L78" s="63">
        <v>2</v>
      </c>
      <c r="M78" s="111">
        <f t="shared" ref="M78:M88" si="5">VLOOKUP($B$89,$G$94:$I$96,3)</f>
        <v>0</v>
      </c>
    </row>
    <row r="79" spans="2:13" x14ac:dyDescent="0.35">
      <c r="J79" s="110" t="s">
        <v>75</v>
      </c>
      <c r="K79" s="61"/>
      <c r="L79" s="63">
        <v>3</v>
      </c>
      <c r="M79" s="111">
        <f t="shared" si="5"/>
        <v>0</v>
      </c>
    </row>
    <row r="80" spans="2:13" x14ac:dyDescent="0.35">
      <c r="J80" s="110" t="s">
        <v>97</v>
      </c>
      <c r="K80" s="61"/>
      <c r="L80" s="63">
        <v>4</v>
      </c>
      <c r="M80" s="111">
        <f t="shared" si="5"/>
        <v>0</v>
      </c>
    </row>
    <row r="81" spans="2:13" x14ac:dyDescent="0.35">
      <c r="J81" s="71" t="s">
        <v>78</v>
      </c>
      <c r="K81" s="61"/>
      <c r="L81" s="63">
        <v>5</v>
      </c>
      <c r="M81" s="111">
        <f t="shared" si="5"/>
        <v>0</v>
      </c>
    </row>
    <row r="82" spans="2:13" x14ac:dyDescent="0.35">
      <c r="J82" s="71" t="s">
        <v>79</v>
      </c>
      <c r="K82" s="61"/>
      <c r="L82" s="63">
        <v>6</v>
      </c>
      <c r="M82" s="111">
        <f t="shared" si="5"/>
        <v>0</v>
      </c>
    </row>
    <row r="83" spans="2:13" x14ac:dyDescent="0.35">
      <c r="J83" s="71" t="s">
        <v>80</v>
      </c>
      <c r="K83" s="61"/>
      <c r="L83" s="63">
        <v>7</v>
      </c>
      <c r="M83" s="111">
        <f t="shared" si="5"/>
        <v>0</v>
      </c>
    </row>
    <row r="84" spans="2:13" x14ac:dyDescent="0.35">
      <c r="J84" s="110" t="s">
        <v>81</v>
      </c>
      <c r="K84" s="61"/>
      <c r="L84" s="63">
        <v>8</v>
      </c>
      <c r="M84" s="111">
        <f t="shared" si="5"/>
        <v>0</v>
      </c>
    </row>
    <row r="85" spans="2:13" x14ac:dyDescent="0.35">
      <c r="J85" s="71" t="s">
        <v>138</v>
      </c>
      <c r="K85" s="70"/>
      <c r="L85" s="63">
        <v>9</v>
      </c>
      <c r="M85" s="111">
        <f t="shared" si="5"/>
        <v>0</v>
      </c>
    </row>
    <row r="86" spans="2:13" x14ac:dyDescent="0.35">
      <c r="J86" s="71" t="s">
        <v>139</v>
      </c>
      <c r="K86" s="70"/>
      <c r="L86" s="63"/>
      <c r="M86" s="111">
        <f t="shared" si="5"/>
        <v>0</v>
      </c>
    </row>
    <row r="87" spans="2:13" x14ac:dyDescent="0.35">
      <c r="J87" s="110" t="s">
        <v>83</v>
      </c>
      <c r="K87" s="63"/>
      <c r="L87" s="63">
        <v>10</v>
      </c>
      <c r="M87" s="111">
        <f t="shared" si="5"/>
        <v>0</v>
      </c>
    </row>
    <row r="88" spans="2:13" x14ac:dyDescent="0.35">
      <c r="J88" s="110" t="s">
        <v>84</v>
      </c>
      <c r="K88" s="61"/>
      <c r="L88" s="63">
        <v>11</v>
      </c>
      <c r="M88" s="111">
        <f t="shared" si="5"/>
        <v>0</v>
      </c>
    </row>
    <row r="89" spans="2:13" x14ac:dyDescent="0.35">
      <c r="B89" s="112">
        <f>'Financement PFI'!$L$21+'Financement PFI'!$L$29</f>
        <v>0</v>
      </c>
      <c r="C89" s="61"/>
      <c r="D89" s="287" t="s">
        <v>101</v>
      </c>
      <c r="E89" s="288"/>
      <c r="F89" s="289"/>
      <c r="G89" s="287" t="s">
        <v>102</v>
      </c>
      <c r="H89" s="288"/>
      <c r="I89" s="288"/>
      <c r="J89" s="110" t="s">
        <v>85</v>
      </c>
      <c r="K89" s="61"/>
      <c r="L89" s="63">
        <v>12</v>
      </c>
      <c r="M89" s="111">
        <v>0</v>
      </c>
    </row>
    <row r="90" spans="2:13" x14ac:dyDescent="0.35">
      <c r="B90" s="112">
        <f>'Financement PFI'!$L$21+'Financement PFI'!$L$29+'Financement PFI'!$L$37</f>
        <v>0</v>
      </c>
      <c r="C90" s="61"/>
      <c r="D90" s="290" t="s">
        <v>103</v>
      </c>
      <c r="E90" s="291"/>
      <c r="F90" s="292"/>
      <c r="G90" s="290" t="s">
        <v>103</v>
      </c>
      <c r="H90" s="291"/>
      <c r="I90" s="291"/>
      <c r="J90" s="110" t="s">
        <v>86</v>
      </c>
      <c r="K90" s="61"/>
      <c r="L90" s="63">
        <v>13</v>
      </c>
      <c r="M90" s="111">
        <v>0</v>
      </c>
    </row>
    <row r="91" spans="2:13" x14ac:dyDescent="0.35">
      <c r="D91" s="113"/>
      <c r="E91" s="114"/>
      <c r="F91" s="115"/>
      <c r="G91" s="280"/>
      <c r="H91" s="281"/>
      <c r="I91" s="281"/>
      <c r="J91" s="110" t="s">
        <v>87</v>
      </c>
      <c r="K91" s="61"/>
      <c r="L91" s="63">
        <v>14</v>
      </c>
      <c r="M91" s="111">
        <f>VLOOKUP($B$89,$G$94:$I$96,3)</f>
        <v>0</v>
      </c>
    </row>
    <row r="92" spans="2:13" x14ac:dyDescent="0.35">
      <c r="D92" s="116" t="s">
        <v>0</v>
      </c>
      <c r="E92" s="114"/>
      <c r="F92" s="117" t="s">
        <v>12</v>
      </c>
      <c r="G92" s="113"/>
      <c r="H92" s="114"/>
      <c r="I92" s="114"/>
      <c r="J92" s="110" t="s">
        <v>88</v>
      </c>
      <c r="K92" s="61"/>
      <c r="L92" s="63">
        <v>15</v>
      </c>
      <c r="M92" s="80"/>
    </row>
    <row r="93" spans="2:13" x14ac:dyDescent="0.35">
      <c r="D93" s="118">
        <v>0</v>
      </c>
      <c r="E93" s="119">
        <v>626000</v>
      </c>
      <c r="F93" s="120">
        <f>+B90*0.09</f>
        <v>0</v>
      </c>
      <c r="G93" s="116" t="s">
        <v>0</v>
      </c>
      <c r="H93" s="114"/>
      <c r="I93" s="121" t="s">
        <v>13</v>
      </c>
      <c r="J93" s="110" t="s">
        <v>89</v>
      </c>
      <c r="L93" s="81">
        <v>16</v>
      </c>
      <c r="M93" s="80"/>
    </row>
    <row r="94" spans="2:13" x14ac:dyDescent="0.35">
      <c r="D94" s="118">
        <v>626000</v>
      </c>
      <c r="E94" s="119">
        <v>1252000</v>
      </c>
      <c r="F94" s="120">
        <f>+((B90-D94)*0.072)+56340</f>
        <v>11268</v>
      </c>
      <c r="G94" s="118">
        <v>0</v>
      </c>
      <c r="H94" s="119">
        <v>1565000</v>
      </c>
      <c r="I94" s="122">
        <f>+B89*0.03</f>
        <v>0</v>
      </c>
      <c r="J94" s="110" t="s">
        <v>90</v>
      </c>
      <c r="L94" s="81">
        <v>17</v>
      </c>
      <c r="M94" s="80"/>
    </row>
    <row r="95" spans="2:13" x14ac:dyDescent="0.35">
      <c r="D95" s="118">
        <v>1252000</v>
      </c>
      <c r="E95" s="119">
        <v>2608000</v>
      </c>
      <c r="F95" s="120">
        <f>+(((B90)-D95)*0.063)+101412</f>
        <v>22536</v>
      </c>
      <c r="G95" s="118">
        <v>1565000</v>
      </c>
      <c r="H95" s="119">
        <v>3039000</v>
      </c>
      <c r="I95" s="122">
        <f>+((B89-G95)*0.02)+46950</f>
        <v>15650</v>
      </c>
      <c r="J95" s="123" t="s">
        <v>91</v>
      </c>
      <c r="K95" s="86"/>
      <c r="L95" s="87">
        <v>18</v>
      </c>
      <c r="M95" s="109"/>
    </row>
    <row r="96" spans="2:13" x14ac:dyDescent="0.35">
      <c r="D96" s="124">
        <v>2608000</v>
      </c>
      <c r="E96" s="125">
        <v>15000000</v>
      </c>
      <c r="F96" s="126">
        <f>+(((B90)-D96)*0.0576)+186840</f>
        <v>36619.200000000012</v>
      </c>
      <c r="G96" s="124">
        <v>3130000</v>
      </c>
      <c r="H96" s="125">
        <v>15000000</v>
      </c>
      <c r="I96" s="126">
        <f>+((B89-G96)*0.015)+78250</f>
        <v>31300</v>
      </c>
    </row>
    <row r="98" spans="1:9" x14ac:dyDescent="0.35">
      <c r="A98" s="282" t="s">
        <v>130</v>
      </c>
      <c r="B98" s="282"/>
    </row>
    <row r="99" spans="1:9" x14ac:dyDescent="0.35">
      <c r="B99" s="272" t="s">
        <v>131</v>
      </c>
      <c r="C99" s="273"/>
      <c r="D99" s="273"/>
      <c r="E99" s="274"/>
    </row>
    <row r="100" spans="1:9" x14ac:dyDescent="0.35">
      <c r="B100" s="130">
        <f>'Financement PFI'!E$22</f>
        <v>0</v>
      </c>
      <c r="C100" s="61"/>
      <c r="D100" s="63">
        <v>1</v>
      </c>
      <c r="E100" s="66"/>
      <c r="I100" s="135"/>
    </row>
    <row r="101" spans="1:9" x14ac:dyDescent="0.35">
      <c r="B101" s="110" t="s">
        <v>74</v>
      </c>
      <c r="C101" s="72"/>
      <c r="D101" s="63">
        <v>2</v>
      </c>
      <c r="E101" s="80">
        <f>+$B$100</f>
        <v>0</v>
      </c>
    </row>
    <row r="102" spans="1:9" x14ac:dyDescent="0.35">
      <c r="B102" s="110" t="s">
        <v>96</v>
      </c>
      <c r="C102" s="61"/>
      <c r="D102" s="63">
        <v>3</v>
      </c>
      <c r="E102" s="80">
        <f t="shared" ref="E102:E106" si="6">+$B$100</f>
        <v>0</v>
      </c>
    </row>
    <row r="103" spans="1:9" x14ac:dyDescent="0.35">
      <c r="B103" s="110" t="s">
        <v>97</v>
      </c>
      <c r="C103" s="61"/>
      <c r="D103" s="63">
        <v>4</v>
      </c>
      <c r="E103" s="80">
        <f t="shared" si="6"/>
        <v>0</v>
      </c>
    </row>
    <row r="104" spans="1:9" x14ac:dyDescent="0.35">
      <c r="B104" s="110" t="s">
        <v>98</v>
      </c>
      <c r="C104" s="61"/>
      <c r="D104" s="63">
        <v>5</v>
      </c>
      <c r="E104" s="80">
        <f t="shared" si="6"/>
        <v>0</v>
      </c>
    </row>
    <row r="105" spans="1:9" x14ac:dyDescent="0.35">
      <c r="B105" s="110" t="s">
        <v>99</v>
      </c>
      <c r="C105" s="61"/>
      <c r="D105" s="63">
        <v>6</v>
      </c>
      <c r="E105" s="80">
        <f t="shared" si="6"/>
        <v>0</v>
      </c>
    </row>
    <row r="106" spans="1:9" x14ac:dyDescent="0.35">
      <c r="B106" s="110" t="s">
        <v>100</v>
      </c>
      <c r="C106" s="70"/>
      <c r="D106" s="63">
        <v>7</v>
      </c>
      <c r="E106" s="80">
        <f t="shared" si="6"/>
        <v>0</v>
      </c>
    </row>
    <row r="107" spans="1:9" x14ac:dyDescent="0.35">
      <c r="B107" s="110" t="s">
        <v>81</v>
      </c>
      <c r="C107" s="63"/>
      <c r="D107" s="63">
        <v>8</v>
      </c>
      <c r="E107" s="80"/>
    </row>
    <row r="108" spans="1:9" x14ac:dyDescent="0.35">
      <c r="B108" s="110" t="s">
        <v>82</v>
      </c>
      <c r="C108" s="61"/>
      <c r="D108" s="63">
        <v>9</v>
      </c>
      <c r="E108" s="80"/>
    </row>
    <row r="109" spans="1:9" x14ac:dyDescent="0.35">
      <c r="B109" s="110" t="s">
        <v>83</v>
      </c>
      <c r="C109" s="61"/>
      <c r="D109" s="63">
        <v>10</v>
      </c>
      <c r="E109" s="80">
        <f t="shared" ref="E109:E110" si="7">+$B$100</f>
        <v>0</v>
      </c>
    </row>
    <row r="110" spans="1:9" x14ac:dyDescent="0.35">
      <c r="B110" s="110" t="s">
        <v>84</v>
      </c>
      <c r="C110" s="61"/>
      <c r="D110" s="63">
        <v>11</v>
      </c>
      <c r="E110" s="80">
        <f t="shared" si="7"/>
        <v>0</v>
      </c>
    </row>
    <row r="111" spans="1:9" x14ac:dyDescent="0.35">
      <c r="B111" s="110" t="s">
        <v>85</v>
      </c>
      <c r="C111" s="61"/>
      <c r="D111" s="63">
        <v>12</v>
      </c>
      <c r="E111" s="99"/>
    </row>
    <row r="112" spans="1:9" x14ac:dyDescent="0.35">
      <c r="B112" s="110" t="s">
        <v>86</v>
      </c>
      <c r="C112" s="61"/>
      <c r="D112" s="63">
        <v>13</v>
      </c>
      <c r="E112" s="99"/>
    </row>
    <row r="113" spans="2:5" x14ac:dyDescent="0.35">
      <c r="B113" s="110" t="s">
        <v>87</v>
      </c>
      <c r="D113" s="81">
        <v>14</v>
      </c>
      <c r="E113" s="127"/>
    </row>
    <row r="114" spans="2:5" x14ac:dyDescent="0.35">
      <c r="B114" s="110" t="s">
        <v>88</v>
      </c>
      <c r="D114" s="81">
        <v>15</v>
      </c>
      <c r="E114" s="128"/>
    </row>
    <row r="115" spans="2:5" x14ac:dyDescent="0.35">
      <c r="B115" s="110" t="s">
        <v>89</v>
      </c>
      <c r="D115" s="81">
        <v>16</v>
      </c>
      <c r="E115" s="128"/>
    </row>
    <row r="116" spans="2:5" x14ac:dyDescent="0.35">
      <c r="B116" s="110" t="s">
        <v>90</v>
      </c>
      <c r="D116" s="81">
        <v>17</v>
      </c>
      <c r="E116" s="128"/>
    </row>
    <row r="117" spans="2:5" x14ac:dyDescent="0.35">
      <c r="B117" s="123" t="s">
        <v>91</v>
      </c>
      <c r="C117" s="86"/>
      <c r="D117" s="87">
        <v>18</v>
      </c>
      <c r="E117" s="80">
        <f>+$B$100</f>
        <v>0</v>
      </c>
    </row>
  </sheetData>
  <mergeCells count="28">
    <mergeCell ref="G91:I91"/>
    <mergeCell ref="G53:J53"/>
    <mergeCell ref="B99:E99"/>
    <mergeCell ref="A29:C29"/>
    <mergeCell ref="A2:C2"/>
    <mergeCell ref="A52:C52"/>
    <mergeCell ref="G52:I52"/>
    <mergeCell ref="B77:D77"/>
    <mergeCell ref="A98:B98"/>
    <mergeCell ref="J75:M75"/>
    <mergeCell ref="J76:M76"/>
    <mergeCell ref="D89:F89"/>
    <mergeCell ref="G89:I89"/>
    <mergeCell ref="D90:F90"/>
    <mergeCell ref="G90:I90"/>
    <mergeCell ref="B53:E53"/>
    <mergeCell ref="O32:P32"/>
    <mergeCell ref="B3:E3"/>
    <mergeCell ref="G3:J3"/>
    <mergeCell ref="L3:O3"/>
    <mergeCell ref="Q3:T3"/>
    <mergeCell ref="AK11:AN11"/>
    <mergeCell ref="AF3:AI3"/>
    <mergeCell ref="B30:E30"/>
    <mergeCell ref="F30:I30"/>
    <mergeCell ref="J30:M30"/>
    <mergeCell ref="V3:Y3"/>
    <mergeCell ref="AA3:AD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C1B37-4F49-47F2-9B2F-7568E0791281}">
  <sheetPr codeName="Feuil3">
    <tabColor theme="9" tint="-0.249977111117893"/>
  </sheetPr>
  <dimension ref="A1:L87"/>
  <sheetViews>
    <sheetView showGridLines="0" showWhiteSpace="0" view="pageLayout" topLeftCell="A51" zoomScaleNormal="100" workbookViewId="0">
      <selection activeCell="B86" sqref="B86"/>
    </sheetView>
  </sheetViews>
  <sheetFormatPr baseColWidth="10" defaultColWidth="0" defaultRowHeight="0" customHeight="1" zeroHeight="1" x14ac:dyDescent="0.25"/>
  <cols>
    <col min="1" max="1" width="4.54296875" style="61" customWidth="1"/>
    <col min="2" max="6" width="11.453125" style="61" customWidth="1"/>
    <col min="7" max="7" width="4.54296875" style="61" customWidth="1"/>
    <col min="8" max="12" width="11.453125" style="61" customWidth="1"/>
    <col min="13" max="16384" width="11.453125" style="61" hidden="1"/>
  </cols>
  <sheetData>
    <row r="1" spans="1:12" ht="12.5" x14ac:dyDescent="0.25">
      <c r="A1" s="149"/>
      <c r="B1" s="149"/>
      <c r="C1" s="149"/>
      <c r="D1" s="149"/>
      <c r="E1" s="149"/>
      <c r="F1" s="149"/>
      <c r="G1" s="149"/>
      <c r="H1" s="149"/>
      <c r="I1" s="149"/>
      <c r="J1" s="150"/>
      <c r="K1" s="295" t="s">
        <v>156</v>
      </c>
      <c r="L1" s="295"/>
    </row>
    <row r="2" spans="1:12" ht="55.4" customHeight="1" x14ac:dyDescent="0.6">
      <c r="A2" s="151" t="s">
        <v>157</v>
      </c>
      <c r="B2" s="149"/>
      <c r="C2" s="149"/>
      <c r="D2" s="152"/>
      <c r="E2" s="149"/>
      <c r="F2" s="149"/>
      <c r="G2" s="149"/>
      <c r="H2" s="149"/>
      <c r="I2" s="149"/>
      <c r="J2" s="149"/>
      <c r="K2" s="149"/>
      <c r="L2" s="149"/>
    </row>
    <row r="3" spans="1:12" ht="14.5" thickBot="1" x14ac:dyDescent="0.35">
      <c r="A3" s="153"/>
      <c r="B3" s="154"/>
      <c r="C3" s="154"/>
      <c r="D3" s="154"/>
      <c r="E3" s="154"/>
      <c r="F3" s="154"/>
      <c r="G3" s="153"/>
      <c r="H3" s="154"/>
      <c r="I3" s="154"/>
      <c r="J3" s="154"/>
      <c r="K3" s="154"/>
      <c r="L3" s="153"/>
    </row>
    <row r="4" spans="1:12" ht="13.5" thickBot="1" x14ac:dyDescent="0.3">
      <c r="A4" s="153"/>
      <c r="B4" s="296" t="s">
        <v>158</v>
      </c>
      <c r="C4" s="297"/>
      <c r="D4" s="297"/>
      <c r="E4" s="297"/>
      <c r="F4" s="298"/>
      <c r="G4" s="153"/>
      <c r="H4" s="296" t="s">
        <v>104</v>
      </c>
      <c r="I4" s="297"/>
      <c r="J4" s="297"/>
      <c r="K4" s="298"/>
      <c r="L4" s="153"/>
    </row>
    <row r="5" spans="1:12" ht="26.5" thickBot="1" x14ac:dyDescent="0.3">
      <c r="A5" s="153"/>
      <c r="B5" s="155" t="s">
        <v>159</v>
      </c>
      <c r="C5" s="155" t="s">
        <v>160</v>
      </c>
      <c r="D5" s="155" t="s">
        <v>161</v>
      </c>
      <c r="E5" s="155" t="s">
        <v>162</v>
      </c>
      <c r="F5" s="155" t="s">
        <v>163</v>
      </c>
      <c r="G5" s="153"/>
      <c r="H5" s="155" t="s">
        <v>159</v>
      </c>
      <c r="I5" s="155" t="s">
        <v>164</v>
      </c>
      <c r="J5" s="155" t="s">
        <v>162</v>
      </c>
      <c r="K5" s="155" t="s">
        <v>165</v>
      </c>
      <c r="L5" s="153"/>
    </row>
    <row r="6" spans="1:12" ht="14" x14ac:dyDescent="0.4">
      <c r="A6" s="153"/>
      <c r="B6" s="156">
        <v>0</v>
      </c>
      <c r="C6" s="157">
        <v>0</v>
      </c>
      <c r="D6" s="157">
        <v>0</v>
      </c>
      <c r="E6" s="158">
        <v>0</v>
      </c>
      <c r="F6" s="157">
        <v>0</v>
      </c>
      <c r="G6" s="153"/>
      <c r="H6" s="156">
        <v>0</v>
      </c>
      <c r="I6" s="158">
        <v>0</v>
      </c>
      <c r="J6" s="158">
        <v>0</v>
      </c>
      <c r="K6" s="158">
        <v>0</v>
      </c>
      <c r="L6" s="153"/>
    </row>
    <row r="7" spans="1:12" ht="14" x14ac:dyDescent="0.4">
      <c r="A7" s="153"/>
      <c r="B7" s="156">
        <v>1</v>
      </c>
      <c r="C7" s="158">
        <v>0</v>
      </c>
      <c r="D7" s="158">
        <v>0</v>
      </c>
      <c r="E7" s="158">
        <v>0.08</v>
      </c>
      <c r="F7" s="158">
        <v>0.2</v>
      </c>
      <c r="G7" s="153"/>
      <c r="H7" s="156">
        <v>1</v>
      </c>
      <c r="I7" s="158">
        <v>0</v>
      </c>
      <c r="J7" s="158">
        <v>0</v>
      </c>
      <c r="K7" s="158">
        <v>0</v>
      </c>
      <c r="L7" s="153"/>
    </row>
    <row r="8" spans="1:12" ht="14" x14ac:dyDescent="0.4">
      <c r="A8" s="153"/>
      <c r="B8" s="156">
        <v>2</v>
      </c>
      <c r="C8" s="158">
        <v>0</v>
      </c>
      <c r="D8" s="158">
        <v>0</v>
      </c>
      <c r="E8" s="158">
        <v>0.08</v>
      </c>
      <c r="F8" s="158">
        <v>0.2</v>
      </c>
      <c r="G8" s="153"/>
      <c r="H8" s="156">
        <v>2</v>
      </c>
      <c r="I8" s="158">
        <v>0</v>
      </c>
      <c r="J8" s="158">
        <v>0</v>
      </c>
      <c r="K8" s="158">
        <v>0</v>
      </c>
      <c r="L8" s="153"/>
    </row>
    <row r="9" spans="1:12" ht="14" x14ac:dyDescent="0.4">
      <c r="A9" s="153"/>
      <c r="B9" s="156">
        <v>3</v>
      </c>
      <c r="C9" s="158">
        <v>0</v>
      </c>
      <c r="D9" s="158">
        <v>0</v>
      </c>
      <c r="E9" s="158">
        <v>0.08</v>
      </c>
      <c r="F9" s="158">
        <v>0.2</v>
      </c>
      <c r="G9" s="153"/>
      <c r="H9" s="156">
        <v>3</v>
      </c>
      <c r="I9" s="158">
        <v>0</v>
      </c>
      <c r="J9" s="158">
        <v>0</v>
      </c>
      <c r="K9" s="158">
        <v>0</v>
      </c>
      <c r="L9" s="153"/>
    </row>
    <row r="10" spans="1:12" ht="14" x14ac:dyDescent="0.4">
      <c r="A10" s="153"/>
      <c r="B10" s="159">
        <v>4</v>
      </c>
      <c r="C10" s="158">
        <v>0</v>
      </c>
      <c r="D10" s="158">
        <v>0</v>
      </c>
      <c r="E10" s="158">
        <v>0.08</v>
      </c>
      <c r="F10" s="158">
        <v>0.2</v>
      </c>
      <c r="G10" s="153"/>
      <c r="H10" s="159">
        <v>4</v>
      </c>
      <c r="I10" s="158">
        <v>0</v>
      </c>
      <c r="J10" s="158">
        <v>0</v>
      </c>
      <c r="K10" s="158">
        <v>0</v>
      </c>
      <c r="L10" s="153"/>
    </row>
    <row r="11" spans="1:12" ht="14" x14ac:dyDescent="0.4">
      <c r="A11" s="153"/>
      <c r="B11" s="159">
        <v>5</v>
      </c>
      <c r="C11" s="158">
        <v>0</v>
      </c>
      <c r="D11" s="158">
        <v>0.05</v>
      </c>
      <c r="E11" s="158">
        <v>0.08</v>
      </c>
      <c r="F11" s="158">
        <v>0.2</v>
      </c>
      <c r="G11" s="153"/>
      <c r="H11" s="159">
        <v>5</v>
      </c>
      <c r="I11" s="158">
        <v>0.05</v>
      </c>
      <c r="J11" s="158">
        <v>0.08</v>
      </c>
      <c r="K11" s="158">
        <v>0.2</v>
      </c>
      <c r="L11" s="153"/>
    </row>
    <row r="12" spans="1:12" ht="14" x14ac:dyDescent="0.4">
      <c r="A12" s="153"/>
      <c r="B12" s="159">
        <v>6</v>
      </c>
      <c r="C12" s="158">
        <v>0</v>
      </c>
      <c r="D12" s="158">
        <v>0.05</v>
      </c>
      <c r="E12" s="158">
        <v>0.08</v>
      </c>
      <c r="F12" s="158">
        <v>0.2</v>
      </c>
      <c r="G12" s="153"/>
      <c r="H12" s="159">
        <v>6</v>
      </c>
      <c r="I12" s="158">
        <v>0.05</v>
      </c>
      <c r="J12" s="158">
        <v>0.08</v>
      </c>
      <c r="K12" s="158">
        <v>0.2</v>
      </c>
      <c r="L12" s="153"/>
    </row>
    <row r="13" spans="1:12" ht="14" x14ac:dyDescent="0.4">
      <c r="A13" s="153"/>
      <c r="B13" s="159">
        <v>7</v>
      </c>
      <c r="C13" s="158">
        <v>0</v>
      </c>
      <c r="D13" s="158">
        <v>0.05</v>
      </c>
      <c r="E13" s="158">
        <v>0.08</v>
      </c>
      <c r="F13" s="158">
        <v>0.2</v>
      </c>
      <c r="G13" s="153"/>
      <c r="H13" s="159">
        <v>7</v>
      </c>
      <c r="I13" s="158">
        <v>0.05</v>
      </c>
      <c r="J13" s="158">
        <v>0.08</v>
      </c>
      <c r="K13" s="158">
        <v>0.2</v>
      </c>
      <c r="L13" s="153"/>
    </row>
    <row r="14" spans="1:12" ht="14" x14ac:dyDescent="0.4">
      <c r="A14" s="153"/>
      <c r="B14" s="159">
        <v>8</v>
      </c>
      <c r="C14" s="158">
        <v>0</v>
      </c>
      <c r="D14" s="158">
        <v>0.05</v>
      </c>
      <c r="E14" s="158">
        <v>0.08</v>
      </c>
      <c r="F14" s="158">
        <v>0.2</v>
      </c>
      <c r="G14" s="153"/>
      <c r="H14" s="159">
        <v>8</v>
      </c>
      <c r="I14" s="158">
        <v>0.05</v>
      </c>
      <c r="J14" s="158">
        <v>0.08</v>
      </c>
      <c r="K14" s="158">
        <v>0.2</v>
      </c>
      <c r="L14" s="153"/>
    </row>
    <row r="15" spans="1:12" ht="14" x14ac:dyDescent="0.4">
      <c r="A15" s="153"/>
      <c r="B15" s="159">
        <v>9</v>
      </c>
      <c r="C15" s="158">
        <v>0</v>
      </c>
      <c r="D15" s="158">
        <v>0.05</v>
      </c>
      <c r="E15" s="158">
        <v>0.08</v>
      </c>
      <c r="F15" s="158">
        <v>0.2</v>
      </c>
      <c r="G15" s="153"/>
      <c r="H15" s="159">
        <v>9</v>
      </c>
      <c r="I15" s="158">
        <v>0.05</v>
      </c>
      <c r="J15" s="158">
        <v>0.08</v>
      </c>
      <c r="K15" s="158">
        <v>0.2</v>
      </c>
      <c r="L15" s="153"/>
    </row>
    <row r="16" spans="1:12" ht="14" x14ac:dyDescent="0.4">
      <c r="A16" s="153"/>
      <c r="B16" s="159">
        <v>10</v>
      </c>
      <c r="C16" s="158">
        <v>0</v>
      </c>
      <c r="D16" s="160">
        <v>6.25E-2</v>
      </c>
      <c r="E16" s="158">
        <v>0.08</v>
      </c>
      <c r="F16" s="158">
        <v>0.2</v>
      </c>
      <c r="G16" s="153"/>
      <c r="H16" s="159">
        <v>10</v>
      </c>
      <c r="I16" s="160">
        <v>6.25E-2</v>
      </c>
      <c r="J16" s="158">
        <v>0.1</v>
      </c>
      <c r="K16" s="158">
        <v>0.25</v>
      </c>
      <c r="L16" s="153"/>
    </row>
    <row r="17" spans="1:12" ht="14" x14ac:dyDescent="0.4">
      <c r="A17" s="153"/>
      <c r="B17" s="159">
        <v>11</v>
      </c>
      <c r="C17" s="158">
        <v>0</v>
      </c>
      <c r="D17" s="160">
        <v>6.25E-2</v>
      </c>
      <c r="E17" s="158">
        <v>0.08</v>
      </c>
      <c r="F17" s="158">
        <v>0.2</v>
      </c>
      <c r="G17" s="153"/>
      <c r="H17" s="159">
        <v>11</v>
      </c>
      <c r="I17" s="160">
        <v>6.25E-2</v>
      </c>
      <c r="J17" s="158">
        <v>0.1</v>
      </c>
      <c r="K17" s="158">
        <v>0.25</v>
      </c>
      <c r="L17" s="153"/>
    </row>
    <row r="18" spans="1:12" ht="14" x14ac:dyDescent="0.4">
      <c r="A18" s="153"/>
      <c r="B18" s="159">
        <v>12</v>
      </c>
      <c r="C18" s="158">
        <v>0</v>
      </c>
      <c r="D18" s="160">
        <v>6.25E-2</v>
      </c>
      <c r="E18" s="158">
        <v>0.08</v>
      </c>
      <c r="F18" s="158">
        <v>0.2</v>
      </c>
      <c r="G18" s="153"/>
      <c r="H18" s="159">
        <v>12</v>
      </c>
      <c r="I18" s="160">
        <v>6.25E-2</v>
      </c>
      <c r="J18" s="158">
        <v>0.1</v>
      </c>
      <c r="K18" s="158">
        <v>0.25</v>
      </c>
      <c r="L18" s="153"/>
    </row>
    <row r="19" spans="1:12" ht="14" x14ac:dyDescent="0.4">
      <c r="A19" s="153"/>
      <c r="B19" s="159">
        <v>13</v>
      </c>
      <c r="C19" s="158">
        <v>0</v>
      </c>
      <c r="D19" s="160">
        <v>6.25E-2</v>
      </c>
      <c r="E19" s="158">
        <v>0.08</v>
      </c>
      <c r="F19" s="158">
        <v>0.2</v>
      </c>
      <c r="G19" s="153"/>
      <c r="H19" s="159">
        <v>13</v>
      </c>
      <c r="I19" s="160">
        <v>6.25E-2</v>
      </c>
      <c r="J19" s="158">
        <v>0.1</v>
      </c>
      <c r="K19" s="158">
        <v>0.25</v>
      </c>
      <c r="L19" s="153"/>
    </row>
    <row r="20" spans="1:12" ht="14" x14ac:dyDescent="0.4">
      <c r="A20" s="153"/>
      <c r="B20" s="159">
        <v>14</v>
      </c>
      <c r="C20" s="158">
        <v>0</v>
      </c>
      <c r="D20" s="160">
        <v>6.25E-2</v>
      </c>
      <c r="E20" s="158">
        <v>0.08</v>
      </c>
      <c r="F20" s="158">
        <v>0.2</v>
      </c>
      <c r="G20" s="153"/>
      <c r="H20" s="159">
        <v>14</v>
      </c>
      <c r="I20" s="160">
        <v>6.25E-2</v>
      </c>
      <c r="J20" s="158">
        <v>0.1</v>
      </c>
      <c r="K20" s="158">
        <v>0.25</v>
      </c>
      <c r="L20" s="153"/>
    </row>
    <row r="21" spans="1:12" ht="14" x14ac:dyDescent="0.4">
      <c r="A21" s="153"/>
      <c r="B21" s="159">
        <v>15</v>
      </c>
      <c r="C21" s="158">
        <v>0</v>
      </c>
      <c r="D21" s="160">
        <v>6.25E-2</v>
      </c>
      <c r="E21" s="158">
        <v>0.08</v>
      </c>
      <c r="F21" s="158">
        <v>0.2</v>
      </c>
      <c r="G21" s="153"/>
      <c r="H21" s="159">
        <v>15</v>
      </c>
      <c r="I21" s="160">
        <v>6.25E-2</v>
      </c>
      <c r="J21" s="158">
        <v>0.1</v>
      </c>
      <c r="K21" s="158">
        <v>0.25</v>
      </c>
      <c r="L21" s="153"/>
    </row>
    <row r="22" spans="1:12" ht="14" x14ac:dyDescent="0.4">
      <c r="A22" s="153"/>
      <c r="B22" s="159">
        <v>16</v>
      </c>
      <c r="C22" s="158">
        <v>0</v>
      </c>
      <c r="D22" s="160">
        <v>6.25E-2</v>
      </c>
      <c r="E22" s="158">
        <v>0.08</v>
      </c>
      <c r="F22" s="158">
        <v>0.2</v>
      </c>
      <c r="G22" s="153"/>
      <c r="H22" s="159">
        <v>16</v>
      </c>
      <c r="I22" s="160">
        <v>6.25E-2</v>
      </c>
      <c r="J22" s="158">
        <v>0.1</v>
      </c>
      <c r="K22" s="158">
        <v>0.25</v>
      </c>
      <c r="L22" s="153"/>
    </row>
    <row r="23" spans="1:12" ht="14" x14ac:dyDescent="0.4">
      <c r="A23" s="153"/>
      <c r="B23" s="159">
        <v>17</v>
      </c>
      <c r="C23" s="158">
        <v>0</v>
      </c>
      <c r="D23" s="160">
        <v>6.25E-2</v>
      </c>
      <c r="E23" s="158">
        <v>0.08</v>
      </c>
      <c r="F23" s="158">
        <v>0.2</v>
      </c>
      <c r="G23" s="153"/>
      <c r="H23" s="159">
        <v>17</v>
      </c>
      <c r="I23" s="160">
        <v>6.25E-2</v>
      </c>
      <c r="J23" s="158">
        <v>0.1</v>
      </c>
      <c r="K23" s="158">
        <v>0.25</v>
      </c>
      <c r="L23" s="153"/>
    </row>
    <row r="24" spans="1:12" ht="14" x14ac:dyDescent="0.4">
      <c r="A24" s="153"/>
      <c r="B24" s="159">
        <v>18</v>
      </c>
      <c r="C24" s="158">
        <v>0</v>
      </c>
      <c r="D24" s="160">
        <v>6.25E-2</v>
      </c>
      <c r="E24" s="158">
        <v>0.08</v>
      </c>
      <c r="F24" s="158">
        <v>0.2</v>
      </c>
      <c r="G24" s="153"/>
      <c r="H24" s="159">
        <v>18</v>
      </c>
      <c r="I24" s="160">
        <v>6.25E-2</v>
      </c>
      <c r="J24" s="158">
        <v>0.1</v>
      </c>
      <c r="K24" s="158">
        <v>0.25</v>
      </c>
      <c r="L24" s="153"/>
    </row>
    <row r="25" spans="1:12" ht="14" x14ac:dyDescent="0.4">
      <c r="A25" s="153"/>
      <c r="B25" s="159">
        <v>19</v>
      </c>
      <c r="C25" s="158">
        <v>0</v>
      </c>
      <c r="D25" s="160">
        <v>6.25E-2</v>
      </c>
      <c r="E25" s="158">
        <v>0.08</v>
      </c>
      <c r="F25" s="158">
        <v>0.2</v>
      </c>
      <c r="G25" s="153"/>
      <c r="H25" s="159">
        <v>19</v>
      </c>
      <c r="I25" s="160">
        <v>6.25E-2</v>
      </c>
      <c r="J25" s="158">
        <v>0.1</v>
      </c>
      <c r="K25" s="158">
        <v>0.25</v>
      </c>
      <c r="L25" s="153"/>
    </row>
    <row r="26" spans="1:12" ht="14" x14ac:dyDescent="0.4">
      <c r="A26" s="153"/>
      <c r="B26" s="159">
        <v>20</v>
      </c>
      <c r="C26" s="158">
        <v>0</v>
      </c>
      <c r="D26" s="160">
        <v>6.25E-2</v>
      </c>
      <c r="E26" s="158">
        <v>1</v>
      </c>
      <c r="F26" s="158">
        <v>1</v>
      </c>
      <c r="G26" s="153"/>
      <c r="H26" s="159">
        <v>20</v>
      </c>
      <c r="I26" s="160">
        <v>6.25E-2</v>
      </c>
      <c r="J26" s="158">
        <v>0.1</v>
      </c>
      <c r="K26" s="158">
        <v>0.25</v>
      </c>
      <c r="L26" s="153"/>
    </row>
    <row r="27" spans="1:12" ht="14" x14ac:dyDescent="0.4">
      <c r="A27" s="153"/>
      <c r="B27" s="159">
        <f t="shared" ref="B27:B86" si="0">+B26+1</f>
        <v>21</v>
      </c>
      <c r="C27" s="158">
        <v>0</v>
      </c>
      <c r="D27" s="160">
        <v>6.25E-2</v>
      </c>
      <c r="E27" s="158">
        <v>1</v>
      </c>
      <c r="F27" s="158">
        <v>1</v>
      </c>
      <c r="G27" s="153"/>
      <c r="H27" s="159">
        <f t="shared" ref="H27:H86" si="1">+H26+1</f>
        <v>21</v>
      </c>
      <c r="I27" s="160">
        <v>6.25E-2</v>
      </c>
      <c r="J27" s="158">
        <v>0.1</v>
      </c>
      <c r="K27" s="158">
        <v>0.25</v>
      </c>
      <c r="L27" s="153"/>
    </row>
    <row r="28" spans="1:12" ht="14" x14ac:dyDescent="0.4">
      <c r="A28" s="153"/>
      <c r="B28" s="159">
        <f t="shared" si="0"/>
        <v>22</v>
      </c>
      <c r="C28" s="158">
        <v>0</v>
      </c>
      <c r="D28" s="160">
        <v>6.25E-2</v>
      </c>
      <c r="E28" s="158">
        <v>1</v>
      </c>
      <c r="F28" s="158">
        <v>1</v>
      </c>
      <c r="G28" s="153"/>
      <c r="H28" s="159">
        <f t="shared" si="1"/>
        <v>22</v>
      </c>
      <c r="I28" s="160">
        <v>6.25E-2</v>
      </c>
      <c r="J28" s="158">
        <v>0.1</v>
      </c>
      <c r="K28" s="158">
        <v>0.25</v>
      </c>
      <c r="L28" s="153"/>
    </row>
    <row r="29" spans="1:12" ht="14" x14ac:dyDescent="0.4">
      <c r="A29" s="153"/>
      <c r="B29" s="159">
        <f t="shared" si="0"/>
        <v>23</v>
      </c>
      <c r="C29" s="158">
        <v>0</v>
      </c>
      <c r="D29" s="160">
        <v>6.25E-2</v>
      </c>
      <c r="E29" s="158">
        <v>1</v>
      </c>
      <c r="F29" s="158">
        <v>1</v>
      </c>
      <c r="G29" s="153"/>
      <c r="H29" s="159">
        <f t="shared" si="1"/>
        <v>23</v>
      </c>
      <c r="I29" s="160">
        <v>6.25E-2</v>
      </c>
      <c r="J29" s="158">
        <v>0.1</v>
      </c>
      <c r="K29" s="158">
        <v>0.25</v>
      </c>
      <c r="L29" s="153"/>
    </row>
    <row r="30" spans="1:12" ht="14" x14ac:dyDescent="0.4">
      <c r="A30" s="153"/>
      <c r="B30" s="159">
        <f t="shared" si="0"/>
        <v>24</v>
      </c>
      <c r="C30" s="158">
        <v>0</v>
      </c>
      <c r="D30" s="160">
        <v>6.25E-2</v>
      </c>
      <c r="E30" s="158">
        <v>1</v>
      </c>
      <c r="F30" s="158">
        <v>1</v>
      </c>
      <c r="G30" s="153"/>
      <c r="H30" s="159">
        <f t="shared" si="1"/>
        <v>24</v>
      </c>
      <c r="I30" s="160">
        <v>6.25E-2</v>
      </c>
      <c r="J30" s="158">
        <v>0.1</v>
      </c>
      <c r="K30" s="158">
        <v>0.25</v>
      </c>
      <c r="L30" s="153"/>
    </row>
    <row r="31" spans="1:12" ht="14" x14ac:dyDescent="0.4">
      <c r="A31" s="153"/>
      <c r="B31" s="159">
        <f t="shared" si="0"/>
        <v>25</v>
      </c>
      <c r="C31" s="158">
        <v>0</v>
      </c>
      <c r="D31" s="160">
        <v>6.25E-2</v>
      </c>
      <c r="E31" s="158">
        <v>1</v>
      </c>
      <c r="F31" s="158">
        <v>1</v>
      </c>
      <c r="G31" s="153"/>
      <c r="H31" s="159">
        <f t="shared" si="1"/>
        <v>25</v>
      </c>
      <c r="I31" s="160">
        <v>6.25E-2</v>
      </c>
      <c r="J31" s="158">
        <v>0.1</v>
      </c>
      <c r="K31" s="158">
        <v>0.25</v>
      </c>
      <c r="L31" s="153"/>
    </row>
    <row r="32" spans="1:12" ht="14" x14ac:dyDescent="0.4">
      <c r="A32" s="153"/>
      <c r="B32" s="159">
        <f t="shared" si="0"/>
        <v>26</v>
      </c>
      <c r="C32" s="158">
        <v>0</v>
      </c>
      <c r="D32" s="160">
        <v>6.25E-2</v>
      </c>
      <c r="E32" s="158">
        <v>1</v>
      </c>
      <c r="F32" s="158">
        <v>1</v>
      </c>
      <c r="G32" s="153"/>
      <c r="H32" s="159">
        <f t="shared" si="1"/>
        <v>26</v>
      </c>
      <c r="I32" s="160">
        <v>6.25E-2</v>
      </c>
      <c r="J32" s="158">
        <v>0.1</v>
      </c>
      <c r="K32" s="158">
        <v>0.25</v>
      </c>
      <c r="L32" s="153"/>
    </row>
    <row r="33" spans="1:12" ht="14" x14ac:dyDescent="0.4">
      <c r="A33" s="153"/>
      <c r="B33" s="159">
        <f t="shared" si="0"/>
        <v>27</v>
      </c>
      <c r="C33" s="158">
        <v>0</v>
      </c>
      <c r="D33" s="160">
        <v>6.25E-2</v>
      </c>
      <c r="E33" s="158">
        <v>1</v>
      </c>
      <c r="F33" s="158">
        <v>1</v>
      </c>
      <c r="G33" s="153"/>
      <c r="H33" s="159">
        <f t="shared" si="1"/>
        <v>27</v>
      </c>
      <c r="I33" s="160">
        <v>6.25E-2</v>
      </c>
      <c r="J33" s="158">
        <v>0.1</v>
      </c>
      <c r="K33" s="158">
        <v>0.25</v>
      </c>
      <c r="L33" s="153"/>
    </row>
    <row r="34" spans="1:12" ht="14" x14ac:dyDescent="0.4">
      <c r="A34" s="153"/>
      <c r="B34" s="159">
        <f t="shared" si="0"/>
        <v>28</v>
      </c>
      <c r="C34" s="158">
        <v>0</v>
      </c>
      <c r="D34" s="160">
        <v>6.25E-2</v>
      </c>
      <c r="E34" s="158">
        <v>1</v>
      </c>
      <c r="F34" s="158">
        <v>1</v>
      </c>
      <c r="G34" s="153"/>
      <c r="H34" s="159">
        <f t="shared" si="1"/>
        <v>28</v>
      </c>
      <c r="I34" s="160">
        <v>6.25E-2</v>
      </c>
      <c r="J34" s="158">
        <v>0.1</v>
      </c>
      <c r="K34" s="158">
        <v>0.25</v>
      </c>
      <c r="L34" s="153"/>
    </row>
    <row r="35" spans="1:12" ht="14" x14ac:dyDescent="0.4">
      <c r="A35" s="153"/>
      <c r="B35" s="159">
        <f t="shared" si="0"/>
        <v>29</v>
      </c>
      <c r="C35" s="158">
        <v>0</v>
      </c>
      <c r="D35" s="160">
        <v>6.25E-2</v>
      </c>
      <c r="E35" s="158">
        <v>1</v>
      </c>
      <c r="F35" s="158">
        <v>1</v>
      </c>
      <c r="G35" s="153"/>
      <c r="H35" s="159">
        <f t="shared" si="1"/>
        <v>29</v>
      </c>
      <c r="I35" s="160">
        <v>6.25E-2</v>
      </c>
      <c r="J35" s="158">
        <v>0.1</v>
      </c>
      <c r="K35" s="158">
        <v>0.25</v>
      </c>
      <c r="L35" s="153"/>
    </row>
    <row r="36" spans="1:12" ht="14" x14ac:dyDescent="0.4">
      <c r="A36" s="153"/>
      <c r="B36" s="159">
        <f t="shared" si="0"/>
        <v>30</v>
      </c>
      <c r="C36" s="158">
        <v>0</v>
      </c>
      <c r="D36" s="160">
        <v>6.25E-2</v>
      </c>
      <c r="E36" s="158">
        <v>1</v>
      </c>
      <c r="F36" s="158">
        <v>1</v>
      </c>
      <c r="G36" s="153"/>
      <c r="H36" s="159">
        <f t="shared" si="1"/>
        <v>30</v>
      </c>
      <c r="I36" s="160">
        <v>6.25E-2</v>
      </c>
      <c r="J36" s="158">
        <v>0.1</v>
      </c>
      <c r="K36" s="158">
        <v>0.25</v>
      </c>
      <c r="L36" s="153"/>
    </row>
    <row r="37" spans="1:12" ht="14" x14ac:dyDescent="0.4">
      <c r="A37" s="153"/>
      <c r="B37" s="159">
        <f t="shared" si="0"/>
        <v>31</v>
      </c>
      <c r="C37" s="158">
        <v>0</v>
      </c>
      <c r="D37" s="160">
        <v>6.25E-2</v>
      </c>
      <c r="E37" s="158">
        <v>1</v>
      </c>
      <c r="F37" s="158">
        <v>1</v>
      </c>
      <c r="G37" s="153"/>
      <c r="H37" s="159">
        <f t="shared" si="1"/>
        <v>31</v>
      </c>
      <c r="I37" s="160">
        <v>6.25E-2</v>
      </c>
      <c r="J37" s="158">
        <v>0.1</v>
      </c>
      <c r="K37" s="158">
        <v>0.25</v>
      </c>
      <c r="L37" s="153"/>
    </row>
    <row r="38" spans="1:12" ht="14" x14ac:dyDescent="0.4">
      <c r="A38" s="153"/>
      <c r="B38" s="159">
        <f t="shared" si="0"/>
        <v>32</v>
      </c>
      <c r="C38" s="158">
        <v>0</v>
      </c>
      <c r="D38" s="160">
        <v>6.25E-2</v>
      </c>
      <c r="E38" s="158">
        <v>1</v>
      </c>
      <c r="F38" s="158">
        <v>1</v>
      </c>
      <c r="G38" s="153"/>
      <c r="H38" s="159">
        <f t="shared" si="1"/>
        <v>32</v>
      </c>
      <c r="I38" s="160">
        <v>6.25E-2</v>
      </c>
      <c r="J38" s="158">
        <v>0.1</v>
      </c>
      <c r="K38" s="158">
        <v>0.25</v>
      </c>
      <c r="L38" s="153"/>
    </row>
    <row r="39" spans="1:12" ht="14" x14ac:dyDescent="0.4">
      <c r="A39" s="153"/>
      <c r="B39" s="159">
        <f t="shared" si="0"/>
        <v>33</v>
      </c>
      <c r="C39" s="158">
        <v>0</v>
      </c>
      <c r="D39" s="160">
        <v>6.25E-2</v>
      </c>
      <c r="E39" s="158">
        <v>1</v>
      </c>
      <c r="F39" s="158">
        <v>1</v>
      </c>
      <c r="G39" s="153"/>
      <c r="H39" s="159">
        <f t="shared" si="1"/>
        <v>33</v>
      </c>
      <c r="I39" s="160">
        <v>6.25E-2</v>
      </c>
      <c r="J39" s="158">
        <v>0.1</v>
      </c>
      <c r="K39" s="158">
        <v>0.25</v>
      </c>
      <c r="L39" s="153"/>
    </row>
    <row r="40" spans="1:12" ht="14" x14ac:dyDescent="0.4">
      <c r="A40" s="153"/>
      <c r="B40" s="159">
        <f t="shared" si="0"/>
        <v>34</v>
      </c>
      <c r="C40" s="158">
        <v>0</v>
      </c>
      <c r="D40" s="160">
        <v>6.25E-2</v>
      </c>
      <c r="E40" s="158">
        <v>1</v>
      </c>
      <c r="F40" s="158">
        <v>1</v>
      </c>
      <c r="G40" s="153"/>
      <c r="H40" s="159">
        <f t="shared" si="1"/>
        <v>34</v>
      </c>
      <c r="I40" s="160">
        <v>6.25E-2</v>
      </c>
      <c r="J40" s="158">
        <v>0.1</v>
      </c>
      <c r="K40" s="158">
        <v>0.25</v>
      </c>
      <c r="L40" s="153"/>
    </row>
    <row r="41" spans="1:12" ht="14" x14ac:dyDescent="0.4">
      <c r="A41" s="153"/>
      <c r="B41" s="159">
        <f t="shared" si="0"/>
        <v>35</v>
      </c>
      <c r="C41" s="158">
        <v>0</v>
      </c>
      <c r="D41" s="160">
        <v>6.25E-2</v>
      </c>
      <c r="E41" s="158">
        <v>1</v>
      </c>
      <c r="F41" s="158">
        <v>1</v>
      </c>
      <c r="G41" s="153"/>
      <c r="H41" s="159">
        <f t="shared" si="1"/>
        <v>35</v>
      </c>
      <c r="I41" s="160">
        <v>6.25E-2</v>
      </c>
      <c r="J41" s="158">
        <v>0.1</v>
      </c>
      <c r="K41" s="158">
        <v>0.25</v>
      </c>
      <c r="L41" s="153"/>
    </row>
    <row r="42" spans="1:12" ht="14" x14ac:dyDescent="0.4">
      <c r="A42" s="153"/>
      <c r="B42" s="159">
        <f t="shared" si="0"/>
        <v>36</v>
      </c>
      <c r="C42" s="158">
        <v>0</v>
      </c>
      <c r="D42" s="160">
        <v>6.25E-2</v>
      </c>
      <c r="E42" s="158">
        <v>1</v>
      </c>
      <c r="F42" s="158">
        <v>1</v>
      </c>
      <c r="G42" s="153"/>
      <c r="H42" s="159">
        <f t="shared" si="1"/>
        <v>36</v>
      </c>
      <c r="I42" s="160">
        <v>6.25E-2</v>
      </c>
      <c r="J42" s="158">
        <v>0.1</v>
      </c>
      <c r="K42" s="158">
        <v>0.25</v>
      </c>
      <c r="L42" s="153"/>
    </row>
    <row r="43" spans="1:12" ht="14" x14ac:dyDescent="0.4">
      <c r="A43" s="153"/>
      <c r="B43" s="159">
        <f t="shared" si="0"/>
        <v>37</v>
      </c>
      <c r="C43" s="158">
        <v>0</v>
      </c>
      <c r="D43" s="160">
        <v>6.25E-2</v>
      </c>
      <c r="E43" s="158">
        <v>1</v>
      </c>
      <c r="F43" s="158">
        <v>1</v>
      </c>
      <c r="G43" s="153"/>
      <c r="H43" s="159">
        <f t="shared" si="1"/>
        <v>37</v>
      </c>
      <c r="I43" s="160">
        <v>6.25E-2</v>
      </c>
      <c r="J43" s="158">
        <v>0.1</v>
      </c>
      <c r="K43" s="158">
        <v>0.25</v>
      </c>
      <c r="L43" s="153"/>
    </row>
    <row r="44" spans="1:12" ht="14" x14ac:dyDescent="0.4">
      <c r="A44" s="153"/>
      <c r="B44" s="159">
        <f t="shared" si="0"/>
        <v>38</v>
      </c>
      <c r="C44" s="158">
        <v>0</v>
      </c>
      <c r="D44" s="160">
        <v>6.25E-2</v>
      </c>
      <c r="E44" s="158">
        <v>1</v>
      </c>
      <c r="F44" s="158">
        <v>1</v>
      </c>
      <c r="G44" s="153"/>
      <c r="H44" s="159">
        <f t="shared" si="1"/>
        <v>38</v>
      </c>
      <c r="I44" s="160">
        <v>6.25E-2</v>
      </c>
      <c r="J44" s="158">
        <v>0.1</v>
      </c>
      <c r="K44" s="158">
        <v>0.25</v>
      </c>
      <c r="L44" s="153"/>
    </row>
    <row r="45" spans="1:12" ht="14" x14ac:dyDescent="0.4">
      <c r="A45" s="153"/>
      <c r="B45" s="159">
        <f t="shared" si="0"/>
        <v>39</v>
      </c>
      <c r="C45" s="158">
        <v>0</v>
      </c>
      <c r="D45" s="160">
        <v>6.25E-2</v>
      </c>
      <c r="E45" s="158">
        <v>1</v>
      </c>
      <c r="F45" s="158">
        <v>1</v>
      </c>
      <c r="G45" s="153"/>
      <c r="H45" s="159">
        <f t="shared" si="1"/>
        <v>39</v>
      </c>
      <c r="I45" s="160">
        <v>6.25E-2</v>
      </c>
      <c r="J45" s="158">
        <v>0.1</v>
      </c>
      <c r="K45" s="158">
        <v>0.25</v>
      </c>
      <c r="L45" s="153"/>
    </row>
    <row r="46" spans="1:12" ht="14" x14ac:dyDescent="0.4">
      <c r="A46" s="153"/>
      <c r="B46" s="159">
        <f t="shared" si="0"/>
        <v>40</v>
      </c>
      <c r="C46" s="158">
        <v>1</v>
      </c>
      <c r="D46" s="160">
        <v>6.25E-2</v>
      </c>
      <c r="E46" s="158">
        <v>1</v>
      </c>
      <c r="F46" s="158">
        <v>1</v>
      </c>
      <c r="G46" s="153"/>
      <c r="H46" s="159">
        <f t="shared" si="1"/>
        <v>40</v>
      </c>
      <c r="I46" s="160">
        <v>6.25E-2</v>
      </c>
      <c r="J46" s="158">
        <v>0.1</v>
      </c>
      <c r="K46" s="158">
        <v>0.25</v>
      </c>
      <c r="L46" s="153"/>
    </row>
    <row r="47" spans="1:12" ht="14" x14ac:dyDescent="0.4">
      <c r="A47" s="153"/>
      <c r="B47" s="159">
        <f t="shared" si="0"/>
        <v>41</v>
      </c>
      <c r="C47" s="158">
        <v>1</v>
      </c>
      <c r="D47" s="160">
        <v>6.25E-2</v>
      </c>
      <c r="E47" s="158">
        <v>1</v>
      </c>
      <c r="F47" s="158">
        <v>1</v>
      </c>
      <c r="G47" s="153"/>
      <c r="H47" s="159">
        <f t="shared" si="1"/>
        <v>41</v>
      </c>
      <c r="I47" s="160">
        <v>6.25E-2</v>
      </c>
      <c r="J47" s="158">
        <v>0.1</v>
      </c>
      <c r="K47" s="158">
        <v>0.25</v>
      </c>
      <c r="L47" s="153"/>
    </row>
    <row r="48" spans="1:12" ht="14" x14ac:dyDescent="0.4">
      <c r="A48" s="153"/>
      <c r="B48" s="159">
        <f t="shared" si="0"/>
        <v>42</v>
      </c>
      <c r="C48" s="158">
        <v>1</v>
      </c>
      <c r="D48" s="160">
        <v>6.25E-2</v>
      </c>
      <c r="E48" s="158">
        <v>1</v>
      </c>
      <c r="F48" s="158">
        <v>1</v>
      </c>
      <c r="G48" s="153"/>
      <c r="H48" s="159">
        <f t="shared" si="1"/>
        <v>42</v>
      </c>
      <c r="I48" s="160">
        <v>6.25E-2</v>
      </c>
      <c r="J48" s="158">
        <v>0.1</v>
      </c>
      <c r="K48" s="158">
        <v>0.25</v>
      </c>
      <c r="L48" s="153"/>
    </row>
    <row r="49" spans="1:12" ht="14" x14ac:dyDescent="0.4">
      <c r="A49" s="153"/>
      <c r="B49" s="159">
        <f t="shared" si="0"/>
        <v>43</v>
      </c>
      <c r="C49" s="158">
        <v>1</v>
      </c>
      <c r="D49" s="160">
        <v>6.25E-2</v>
      </c>
      <c r="E49" s="158">
        <v>1</v>
      </c>
      <c r="F49" s="158">
        <v>1</v>
      </c>
      <c r="G49" s="153"/>
      <c r="H49" s="159">
        <f t="shared" si="1"/>
        <v>43</v>
      </c>
      <c r="I49" s="160">
        <v>6.25E-2</v>
      </c>
      <c r="J49" s="158">
        <v>0.1</v>
      </c>
      <c r="K49" s="158">
        <v>0.25</v>
      </c>
      <c r="L49" s="153"/>
    </row>
    <row r="50" spans="1:12" ht="14" x14ac:dyDescent="0.4">
      <c r="A50" s="153"/>
      <c r="B50" s="159">
        <f t="shared" si="0"/>
        <v>44</v>
      </c>
      <c r="C50" s="158">
        <v>1</v>
      </c>
      <c r="D50" s="160">
        <v>6.25E-2</v>
      </c>
      <c r="E50" s="158">
        <v>1</v>
      </c>
      <c r="F50" s="158">
        <v>1</v>
      </c>
      <c r="G50" s="153"/>
      <c r="H50" s="159">
        <f t="shared" si="1"/>
        <v>44</v>
      </c>
      <c r="I50" s="160">
        <v>6.25E-2</v>
      </c>
      <c r="J50" s="158">
        <v>0.1</v>
      </c>
      <c r="K50" s="158">
        <v>0.25</v>
      </c>
      <c r="L50" s="153"/>
    </row>
    <row r="51" spans="1:12" ht="14" x14ac:dyDescent="0.4">
      <c r="A51" s="153"/>
      <c r="B51" s="159">
        <f t="shared" si="0"/>
        <v>45</v>
      </c>
      <c r="C51" s="158">
        <v>1</v>
      </c>
      <c r="D51" s="160">
        <v>6.25E-2</v>
      </c>
      <c r="E51" s="158">
        <v>1</v>
      </c>
      <c r="F51" s="158">
        <v>1</v>
      </c>
      <c r="G51" s="153"/>
      <c r="H51" s="159">
        <f t="shared" si="1"/>
        <v>45</v>
      </c>
      <c r="I51" s="160">
        <v>6.25E-2</v>
      </c>
      <c r="J51" s="158">
        <v>0.1</v>
      </c>
      <c r="K51" s="158">
        <v>0.25</v>
      </c>
      <c r="L51" s="153"/>
    </row>
    <row r="52" spans="1:12" ht="14" x14ac:dyDescent="0.4">
      <c r="A52" s="153"/>
      <c r="B52" s="159">
        <f t="shared" si="0"/>
        <v>46</v>
      </c>
      <c r="C52" s="158">
        <v>1</v>
      </c>
      <c r="D52" s="160">
        <v>6.25E-2</v>
      </c>
      <c r="E52" s="158">
        <v>1</v>
      </c>
      <c r="F52" s="158">
        <v>1</v>
      </c>
      <c r="G52" s="153"/>
      <c r="H52" s="159">
        <f t="shared" si="1"/>
        <v>46</v>
      </c>
      <c r="I52" s="160">
        <v>6.25E-2</v>
      </c>
      <c r="J52" s="158">
        <v>0.1</v>
      </c>
      <c r="K52" s="158">
        <v>0.25</v>
      </c>
      <c r="L52" s="153"/>
    </row>
    <row r="53" spans="1:12" ht="14" x14ac:dyDescent="0.4">
      <c r="A53" s="153"/>
      <c r="B53" s="159">
        <f t="shared" si="0"/>
        <v>47</v>
      </c>
      <c r="C53" s="158">
        <v>1</v>
      </c>
      <c r="D53" s="160">
        <v>6.25E-2</v>
      </c>
      <c r="E53" s="158">
        <v>1</v>
      </c>
      <c r="F53" s="158">
        <v>1</v>
      </c>
      <c r="G53" s="153"/>
      <c r="H53" s="159">
        <f t="shared" si="1"/>
        <v>47</v>
      </c>
      <c r="I53" s="160">
        <v>6.25E-2</v>
      </c>
      <c r="J53" s="158">
        <v>0.1</v>
      </c>
      <c r="K53" s="158">
        <v>0.25</v>
      </c>
      <c r="L53" s="153"/>
    </row>
    <row r="54" spans="1:12" ht="14" x14ac:dyDescent="0.4">
      <c r="A54" s="153"/>
      <c r="B54" s="159">
        <f t="shared" si="0"/>
        <v>48</v>
      </c>
      <c r="C54" s="158">
        <v>1</v>
      </c>
      <c r="D54" s="160">
        <v>6.25E-2</v>
      </c>
      <c r="E54" s="158">
        <v>1</v>
      </c>
      <c r="F54" s="158">
        <v>1</v>
      </c>
      <c r="G54" s="153"/>
      <c r="H54" s="159">
        <f t="shared" si="1"/>
        <v>48</v>
      </c>
      <c r="I54" s="160">
        <v>6.25E-2</v>
      </c>
      <c r="J54" s="158">
        <v>0.1</v>
      </c>
      <c r="K54" s="158">
        <v>0.25</v>
      </c>
      <c r="L54" s="153"/>
    </row>
    <row r="55" spans="1:12" ht="14" x14ac:dyDescent="0.4">
      <c r="A55" s="153"/>
      <c r="B55" s="159">
        <f t="shared" si="0"/>
        <v>49</v>
      </c>
      <c r="C55" s="158">
        <v>1</v>
      </c>
      <c r="D55" s="160">
        <v>6.25E-2</v>
      </c>
      <c r="E55" s="158">
        <v>1</v>
      </c>
      <c r="F55" s="158">
        <v>1</v>
      </c>
      <c r="G55" s="153"/>
      <c r="H55" s="159">
        <f t="shared" si="1"/>
        <v>49</v>
      </c>
      <c r="I55" s="160">
        <v>6.25E-2</v>
      </c>
      <c r="J55" s="158">
        <v>0.1</v>
      </c>
      <c r="K55" s="158">
        <v>0.25</v>
      </c>
      <c r="L55" s="153"/>
    </row>
    <row r="56" spans="1:12" ht="14" x14ac:dyDescent="0.4">
      <c r="A56" s="153"/>
      <c r="B56" s="159">
        <f t="shared" si="0"/>
        <v>50</v>
      </c>
      <c r="C56" s="158">
        <v>1</v>
      </c>
      <c r="D56" s="160">
        <v>6.25E-2</v>
      </c>
      <c r="E56" s="158">
        <v>1</v>
      </c>
      <c r="F56" s="158">
        <v>1</v>
      </c>
      <c r="G56" s="153"/>
      <c r="H56" s="159">
        <f t="shared" si="1"/>
        <v>50</v>
      </c>
      <c r="I56" s="160">
        <v>6.25E-2</v>
      </c>
      <c r="J56" s="158">
        <v>0.1</v>
      </c>
      <c r="K56" s="158">
        <v>0.25</v>
      </c>
      <c r="L56" s="153"/>
    </row>
    <row r="57" spans="1:12" ht="14" x14ac:dyDescent="0.4">
      <c r="A57" s="153"/>
      <c r="B57" s="159">
        <f t="shared" si="0"/>
        <v>51</v>
      </c>
      <c r="C57" s="158">
        <v>1</v>
      </c>
      <c r="D57" s="160">
        <v>6.25E-2</v>
      </c>
      <c r="E57" s="158">
        <v>1</v>
      </c>
      <c r="F57" s="158">
        <v>1</v>
      </c>
      <c r="G57" s="153"/>
      <c r="H57" s="159">
        <f t="shared" si="1"/>
        <v>51</v>
      </c>
      <c r="I57" s="160">
        <v>6.25E-2</v>
      </c>
      <c r="J57" s="158">
        <v>0.1</v>
      </c>
      <c r="K57" s="158">
        <v>0.25</v>
      </c>
      <c r="L57" s="153"/>
    </row>
    <row r="58" spans="1:12" ht="14" x14ac:dyDescent="0.4">
      <c r="A58" s="153"/>
      <c r="B58" s="159">
        <f t="shared" si="0"/>
        <v>52</v>
      </c>
      <c r="C58" s="158">
        <v>1</v>
      </c>
      <c r="D58" s="160">
        <v>6.25E-2</v>
      </c>
      <c r="E58" s="158">
        <v>1</v>
      </c>
      <c r="F58" s="158">
        <v>1</v>
      </c>
      <c r="G58" s="153"/>
      <c r="H58" s="159">
        <f t="shared" si="1"/>
        <v>52</v>
      </c>
      <c r="I58" s="160">
        <v>6.25E-2</v>
      </c>
      <c r="J58" s="158">
        <v>0.1</v>
      </c>
      <c r="K58" s="158">
        <v>0.25</v>
      </c>
      <c r="L58" s="153"/>
    </row>
    <row r="59" spans="1:12" ht="14" x14ac:dyDescent="0.4">
      <c r="A59" s="153"/>
      <c r="B59" s="159">
        <f t="shared" si="0"/>
        <v>53</v>
      </c>
      <c r="C59" s="158">
        <v>1</v>
      </c>
      <c r="D59" s="160">
        <v>6.25E-2</v>
      </c>
      <c r="E59" s="158">
        <v>1</v>
      </c>
      <c r="F59" s="158">
        <v>1</v>
      </c>
      <c r="G59" s="153"/>
      <c r="H59" s="159">
        <f t="shared" si="1"/>
        <v>53</v>
      </c>
      <c r="I59" s="160">
        <v>6.25E-2</v>
      </c>
      <c r="J59" s="158">
        <v>0.1</v>
      </c>
      <c r="K59" s="158">
        <v>0.25</v>
      </c>
      <c r="L59" s="153"/>
    </row>
    <row r="60" spans="1:12" ht="14" x14ac:dyDescent="0.4">
      <c r="A60" s="153"/>
      <c r="B60" s="159">
        <f t="shared" si="0"/>
        <v>54</v>
      </c>
      <c r="C60" s="158">
        <v>1</v>
      </c>
      <c r="D60" s="160">
        <v>6.25E-2</v>
      </c>
      <c r="E60" s="158">
        <v>1</v>
      </c>
      <c r="F60" s="158">
        <v>1</v>
      </c>
      <c r="G60" s="153"/>
      <c r="H60" s="159">
        <f t="shared" si="1"/>
        <v>54</v>
      </c>
      <c r="I60" s="160">
        <v>6.25E-2</v>
      </c>
      <c r="J60" s="158">
        <v>0.1</v>
      </c>
      <c r="K60" s="158">
        <v>0.25</v>
      </c>
      <c r="L60" s="153"/>
    </row>
    <row r="61" spans="1:12" ht="14" x14ac:dyDescent="0.4">
      <c r="A61" s="153"/>
      <c r="B61" s="159">
        <f t="shared" si="0"/>
        <v>55</v>
      </c>
      <c r="C61" s="158">
        <v>1</v>
      </c>
      <c r="D61" s="160">
        <v>6.25E-2</v>
      </c>
      <c r="E61" s="158">
        <v>1</v>
      </c>
      <c r="F61" s="158">
        <v>1</v>
      </c>
      <c r="G61" s="153"/>
      <c r="H61" s="159">
        <f t="shared" si="1"/>
        <v>55</v>
      </c>
      <c r="I61" s="160">
        <v>6.25E-2</v>
      </c>
      <c r="J61" s="158">
        <v>0.1</v>
      </c>
      <c r="K61" s="158">
        <v>0.25</v>
      </c>
      <c r="L61" s="153"/>
    </row>
    <row r="62" spans="1:12" ht="14" x14ac:dyDescent="0.4">
      <c r="A62" s="153"/>
      <c r="B62" s="159">
        <f t="shared" si="0"/>
        <v>56</v>
      </c>
      <c r="C62" s="158">
        <v>1</v>
      </c>
      <c r="D62" s="160">
        <v>6.25E-2</v>
      </c>
      <c r="E62" s="158">
        <v>1</v>
      </c>
      <c r="F62" s="158">
        <v>1</v>
      </c>
      <c r="G62" s="153"/>
      <c r="H62" s="159">
        <f t="shared" si="1"/>
        <v>56</v>
      </c>
      <c r="I62" s="160">
        <v>6.25E-2</v>
      </c>
      <c r="J62" s="158">
        <v>0.1</v>
      </c>
      <c r="K62" s="158">
        <v>0.25</v>
      </c>
      <c r="L62" s="153"/>
    </row>
    <row r="63" spans="1:12" ht="14" x14ac:dyDescent="0.4">
      <c r="A63" s="153"/>
      <c r="B63" s="159">
        <f t="shared" si="0"/>
        <v>57</v>
      </c>
      <c r="C63" s="158">
        <v>1</v>
      </c>
      <c r="D63" s="160">
        <v>6.25E-2</v>
      </c>
      <c r="E63" s="158">
        <v>1</v>
      </c>
      <c r="F63" s="158">
        <v>1</v>
      </c>
      <c r="G63" s="153"/>
      <c r="H63" s="159">
        <f t="shared" si="1"/>
        <v>57</v>
      </c>
      <c r="I63" s="160">
        <v>6.25E-2</v>
      </c>
      <c r="J63" s="158">
        <v>0.1</v>
      </c>
      <c r="K63" s="158">
        <v>0.25</v>
      </c>
      <c r="L63" s="153"/>
    </row>
    <row r="64" spans="1:12" ht="14" x14ac:dyDescent="0.4">
      <c r="A64" s="153"/>
      <c r="B64" s="159">
        <f t="shared" si="0"/>
        <v>58</v>
      </c>
      <c r="C64" s="158">
        <v>1</v>
      </c>
      <c r="D64" s="160">
        <v>6.25E-2</v>
      </c>
      <c r="E64" s="158">
        <v>1</v>
      </c>
      <c r="F64" s="158">
        <v>1</v>
      </c>
      <c r="G64" s="153"/>
      <c r="H64" s="159">
        <f t="shared" si="1"/>
        <v>58</v>
      </c>
      <c r="I64" s="160">
        <v>6.25E-2</v>
      </c>
      <c r="J64" s="158">
        <v>0.1</v>
      </c>
      <c r="K64" s="158">
        <v>0.25</v>
      </c>
      <c r="L64" s="153"/>
    </row>
    <row r="65" spans="1:12" ht="14" x14ac:dyDescent="0.4">
      <c r="A65" s="153"/>
      <c r="B65" s="159">
        <f t="shared" si="0"/>
        <v>59</v>
      </c>
      <c r="C65" s="158">
        <v>1</v>
      </c>
      <c r="D65" s="160">
        <v>6.25E-2</v>
      </c>
      <c r="E65" s="158">
        <v>1</v>
      </c>
      <c r="F65" s="158">
        <v>1</v>
      </c>
      <c r="G65" s="153"/>
      <c r="H65" s="159">
        <f t="shared" si="1"/>
        <v>59</v>
      </c>
      <c r="I65" s="160">
        <v>6.25E-2</v>
      </c>
      <c r="J65" s="158">
        <v>0.1</v>
      </c>
      <c r="K65" s="158">
        <v>0.25</v>
      </c>
      <c r="L65" s="153"/>
    </row>
    <row r="66" spans="1:12" ht="14" x14ac:dyDescent="0.4">
      <c r="A66" s="153"/>
      <c r="B66" s="159">
        <f t="shared" si="0"/>
        <v>60</v>
      </c>
      <c r="C66" s="158">
        <v>1</v>
      </c>
      <c r="D66" s="160">
        <v>6.25E-2</v>
      </c>
      <c r="E66" s="158">
        <v>1</v>
      </c>
      <c r="F66" s="158">
        <v>1</v>
      </c>
      <c r="G66" s="153"/>
      <c r="H66" s="159">
        <f t="shared" si="1"/>
        <v>60</v>
      </c>
      <c r="I66" s="160">
        <v>6.25E-2</v>
      </c>
      <c r="J66" s="158">
        <v>0.1</v>
      </c>
      <c r="K66" s="158">
        <v>0.25</v>
      </c>
      <c r="L66" s="153"/>
    </row>
    <row r="67" spans="1:12" ht="14" x14ac:dyDescent="0.4">
      <c r="A67" s="153"/>
      <c r="B67" s="159">
        <f t="shared" si="0"/>
        <v>61</v>
      </c>
      <c r="C67" s="158">
        <v>1</v>
      </c>
      <c r="D67" s="160">
        <v>6.25E-2</v>
      </c>
      <c r="E67" s="158">
        <v>1</v>
      </c>
      <c r="F67" s="158">
        <v>1</v>
      </c>
      <c r="G67" s="153"/>
      <c r="H67" s="159">
        <f t="shared" si="1"/>
        <v>61</v>
      </c>
      <c r="I67" s="160">
        <v>6.25E-2</v>
      </c>
      <c r="J67" s="158">
        <v>0.1</v>
      </c>
      <c r="K67" s="158">
        <v>0.25</v>
      </c>
      <c r="L67" s="153"/>
    </row>
    <row r="68" spans="1:12" ht="14" x14ac:dyDescent="0.4">
      <c r="A68" s="153"/>
      <c r="B68" s="159">
        <f t="shared" si="0"/>
        <v>62</v>
      </c>
      <c r="C68" s="158">
        <v>1</v>
      </c>
      <c r="D68" s="160">
        <v>6.25E-2</v>
      </c>
      <c r="E68" s="158">
        <v>1</v>
      </c>
      <c r="F68" s="158">
        <v>1</v>
      </c>
      <c r="G68" s="153"/>
      <c r="H68" s="159">
        <f t="shared" si="1"/>
        <v>62</v>
      </c>
      <c r="I68" s="160">
        <v>6.25E-2</v>
      </c>
      <c r="J68" s="158">
        <v>0.1</v>
      </c>
      <c r="K68" s="158">
        <v>0.25</v>
      </c>
      <c r="L68" s="153"/>
    </row>
    <row r="69" spans="1:12" ht="14" x14ac:dyDescent="0.4">
      <c r="A69" s="153"/>
      <c r="B69" s="159">
        <f t="shared" si="0"/>
        <v>63</v>
      </c>
      <c r="C69" s="158">
        <v>1</v>
      </c>
      <c r="D69" s="160">
        <v>6.25E-2</v>
      </c>
      <c r="E69" s="158">
        <v>1</v>
      </c>
      <c r="F69" s="158">
        <v>1</v>
      </c>
      <c r="G69" s="153"/>
      <c r="H69" s="159">
        <f t="shared" si="1"/>
        <v>63</v>
      </c>
      <c r="I69" s="160">
        <v>6.25E-2</v>
      </c>
      <c r="J69" s="158">
        <v>0.1</v>
      </c>
      <c r="K69" s="158">
        <v>0.25</v>
      </c>
      <c r="L69" s="153"/>
    </row>
    <row r="70" spans="1:12" ht="14" x14ac:dyDescent="0.4">
      <c r="A70" s="153"/>
      <c r="B70" s="159">
        <f t="shared" si="0"/>
        <v>64</v>
      </c>
      <c r="C70" s="158">
        <v>1</v>
      </c>
      <c r="D70" s="160">
        <v>6.25E-2</v>
      </c>
      <c r="E70" s="158">
        <v>1</v>
      </c>
      <c r="F70" s="158">
        <v>1</v>
      </c>
      <c r="G70" s="153"/>
      <c r="H70" s="159">
        <f t="shared" si="1"/>
        <v>64</v>
      </c>
      <c r="I70" s="160">
        <v>6.25E-2</v>
      </c>
      <c r="J70" s="158">
        <v>0.1</v>
      </c>
      <c r="K70" s="158">
        <v>0.25</v>
      </c>
      <c r="L70" s="153"/>
    </row>
    <row r="71" spans="1:12" ht="14" x14ac:dyDescent="0.4">
      <c r="A71" s="153"/>
      <c r="B71" s="159">
        <f t="shared" si="0"/>
        <v>65</v>
      </c>
      <c r="C71" s="158">
        <v>1</v>
      </c>
      <c r="D71" s="160">
        <v>6.25E-2</v>
      </c>
      <c r="E71" s="158">
        <v>1</v>
      </c>
      <c r="F71" s="158">
        <v>1</v>
      </c>
      <c r="G71" s="153"/>
      <c r="H71" s="159">
        <f t="shared" si="1"/>
        <v>65</v>
      </c>
      <c r="I71" s="160">
        <v>6.25E-2</v>
      </c>
      <c r="J71" s="158">
        <v>0.1</v>
      </c>
      <c r="K71" s="158">
        <v>0.25</v>
      </c>
      <c r="L71" s="153"/>
    </row>
    <row r="72" spans="1:12" ht="14" x14ac:dyDescent="0.4">
      <c r="A72" s="153"/>
      <c r="B72" s="159">
        <f t="shared" si="0"/>
        <v>66</v>
      </c>
      <c r="C72" s="158">
        <v>1</v>
      </c>
      <c r="D72" s="160">
        <v>6.25E-2</v>
      </c>
      <c r="E72" s="158">
        <v>1</v>
      </c>
      <c r="F72" s="158">
        <v>1</v>
      </c>
      <c r="G72" s="153"/>
      <c r="H72" s="159">
        <f t="shared" si="1"/>
        <v>66</v>
      </c>
      <c r="I72" s="160">
        <v>6.25E-2</v>
      </c>
      <c r="J72" s="158">
        <v>0.1</v>
      </c>
      <c r="K72" s="158">
        <v>0.25</v>
      </c>
      <c r="L72" s="153"/>
    </row>
    <row r="73" spans="1:12" ht="14" x14ac:dyDescent="0.4">
      <c r="A73" s="153"/>
      <c r="B73" s="159">
        <f t="shared" si="0"/>
        <v>67</v>
      </c>
      <c r="C73" s="158">
        <v>1</v>
      </c>
      <c r="D73" s="160">
        <v>6.25E-2</v>
      </c>
      <c r="E73" s="158">
        <v>1</v>
      </c>
      <c r="F73" s="158">
        <v>1</v>
      </c>
      <c r="G73" s="153"/>
      <c r="H73" s="159">
        <f t="shared" si="1"/>
        <v>67</v>
      </c>
      <c r="I73" s="160">
        <v>6.25E-2</v>
      </c>
      <c r="J73" s="158">
        <v>0.1</v>
      </c>
      <c r="K73" s="158">
        <v>0.25</v>
      </c>
      <c r="L73" s="153"/>
    </row>
    <row r="74" spans="1:12" ht="14" x14ac:dyDescent="0.4">
      <c r="A74" s="153"/>
      <c r="B74" s="159">
        <f t="shared" si="0"/>
        <v>68</v>
      </c>
      <c r="C74" s="158">
        <v>1</v>
      </c>
      <c r="D74" s="160">
        <v>6.25E-2</v>
      </c>
      <c r="E74" s="158">
        <v>1</v>
      </c>
      <c r="F74" s="158">
        <v>1</v>
      </c>
      <c r="G74" s="153"/>
      <c r="H74" s="159">
        <f t="shared" si="1"/>
        <v>68</v>
      </c>
      <c r="I74" s="160">
        <v>6.25E-2</v>
      </c>
      <c r="J74" s="158">
        <v>0.1</v>
      </c>
      <c r="K74" s="158">
        <v>0.25</v>
      </c>
      <c r="L74" s="153"/>
    </row>
    <row r="75" spans="1:12" ht="14" x14ac:dyDescent="0.4">
      <c r="A75" s="153"/>
      <c r="B75" s="159">
        <f t="shared" si="0"/>
        <v>69</v>
      </c>
      <c r="C75" s="158">
        <v>1</v>
      </c>
      <c r="D75" s="160">
        <v>6.25E-2</v>
      </c>
      <c r="E75" s="158">
        <v>1</v>
      </c>
      <c r="F75" s="158">
        <v>1</v>
      </c>
      <c r="G75" s="153"/>
      <c r="H75" s="159">
        <f t="shared" si="1"/>
        <v>69</v>
      </c>
      <c r="I75" s="160">
        <v>6.25E-2</v>
      </c>
      <c r="J75" s="158">
        <v>0.1</v>
      </c>
      <c r="K75" s="158">
        <v>0.25</v>
      </c>
      <c r="L75" s="153"/>
    </row>
    <row r="76" spans="1:12" ht="14" x14ac:dyDescent="0.4">
      <c r="A76" s="153"/>
      <c r="B76" s="159">
        <f t="shared" si="0"/>
        <v>70</v>
      </c>
      <c r="C76" s="158">
        <v>1</v>
      </c>
      <c r="D76" s="160">
        <v>6.25E-2</v>
      </c>
      <c r="E76" s="158">
        <v>1</v>
      </c>
      <c r="F76" s="158">
        <v>1</v>
      </c>
      <c r="G76" s="153"/>
      <c r="H76" s="159">
        <f t="shared" si="1"/>
        <v>70</v>
      </c>
      <c r="I76" s="160">
        <v>6.25E-2</v>
      </c>
      <c r="J76" s="158">
        <v>0.1</v>
      </c>
      <c r="K76" s="158">
        <v>0.25</v>
      </c>
      <c r="L76" s="153"/>
    </row>
    <row r="77" spans="1:12" ht="14" x14ac:dyDescent="0.4">
      <c r="A77" s="153"/>
      <c r="B77" s="159">
        <f t="shared" si="0"/>
        <v>71</v>
      </c>
      <c r="C77" s="158">
        <v>1</v>
      </c>
      <c r="D77" s="160">
        <v>6.25E-2</v>
      </c>
      <c r="E77" s="158">
        <v>1</v>
      </c>
      <c r="F77" s="158">
        <v>1</v>
      </c>
      <c r="G77" s="153"/>
      <c r="H77" s="159">
        <f t="shared" si="1"/>
        <v>71</v>
      </c>
      <c r="I77" s="160">
        <v>6.25E-2</v>
      </c>
      <c r="J77" s="158">
        <v>0.1</v>
      </c>
      <c r="K77" s="158">
        <v>0.25</v>
      </c>
      <c r="L77" s="153"/>
    </row>
    <row r="78" spans="1:12" ht="14" x14ac:dyDescent="0.4">
      <c r="A78" s="153"/>
      <c r="B78" s="159">
        <f t="shared" si="0"/>
        <v>72</v>
      </c>
      <c r="C78" s="158">
        <v>1</v>
      </c>
      <c r="D78" s="160">
        <v>6.25E-2</v>
      </c>
      <c r="E78" s="158">
        <v>1</v>
      </c>
      <c r="F78" s="158">
        <v>1</v>
      </c>
      <c r="G78" s="153"/>
      <c r="H78" s="159">
        <f t="shared" si="1"/>
        <v>72</v>
      </c>
      <c r="I78" s="160">
        <v>6.25E-2</v>
      </c>
      <c r="J78" s="158">
        <v>0.1</v>
      </c>
      <c r="K78" s="158">
        <v>0.25</v>
      </c>
      <c r="L78" s="153"/>
    </row>
    <row r="79" spans="1:12" ht="14" x14ac:dyDescent="0.4">
      <c r="A79" s="153"/>
      <c r="B79" s="159">
        <f t="shared" si="0"/>
        <v>73</v>
      </c>
      <c r="C79" s="158">
        <v>1</v>
      </c>
      <c r="D79" s="160">
        <v>6.25E-2</v>
      </c>
      <c r="E79" s="158">
        <v>1</v>
      </c>
      <c r="F79" s="158">
        <v>1</v>
      </c>
      <c r="G79" s="153"/>
      <c r="H79" s="159">
        <f t="shared" si="1"/>
        <v>73</v>
      </c>
      <c r="I79" s="160">
        <v>6.25E-2</v>
      </c>
      <c r="J79" s="158">
        <v>0.1</v>
      </c>
      <c r="K79" s="158">
        <v>0.25</v>
      </c>
      <c r="L79" s="153"/>
    </row>
    <row r="80" spans="1:12" ht="14" x14ac:dyDescent="0.4">
      <c r="A80" s="153"/>
      <c r="B80" s="159">
        <f t="shared" si="0"/>
        <v>74</v>
      </c>
      <c r="C80" s="158">
        <v>1</v>
      </c>
      <c r="D80" s="160">
        <v>6.25E-2</v>
      </c>
      <c r="E80" s="158">
        <v>1</v>
      </c>
      <c r="F80" s="158">
        <v>1</v>
      </c>
      <c r="G80" s="153"/>
      <c r="H80" s="159">
        <f t="shared" si="1"/>
        <v>74</v>
      </c>
      <c r="I80" s="160">
        <v>6.25E-2</v>
      </c>
      <c r="J80" s="158">
        <v>0.1</v>
      </c>
      <c r="K80" s="158">
        <v>0.25</v>
      </c>
      <c r="L80" s="153"/>
    </row>
    <row r="81" spans="1:12" ht="14" x14ac:dyDescent="0.4">
      <c r="A81" s="153"/>
      <c r="B81" s="159">
        <f t="shared" si="0"/>
        <v>75</v>
      </c>
      <c r="C81" s="158">
        <v>1</v>
      </c>
      <c r="D81" s="160">
        <v>6.25E-2</v>
      </c>
      <c r="E81" s="158">
        <v>1</v>
      </c>
      <c r="F81" s="158">
        <v>1</v>
      </c>
      <c r="G81" s="153"/>
      <c r="H81" s="159">
        <f t="shared" si="1"/>
        <v>75</v>
      </c>
      <c r="I81" s="160">
        <v>6.25E-2</v>
      </c>
      <c r="J81" s="158">
        <v>0.1</v>
      </c>
      <c r="K81" s="158">
        <v>0.25</v>
      </c>
      <c r="L81" s="153"/>
    </row>
    <row r="82" spans="1:12" ht="14" x14ac:dyDescent="0.4">
      <c r="A82" s="153"/>
      <c r="B82" s="159">
        <f t="shared" si="0"/>
        <v>76</v>
      </c>
      <c r="C82" s="158">
        <v>1</v>
      </c>
      <c r="D82" s="160">
        <v>6.25E-2</v>
      </c>
      <c r="E82" s="158">
        <v>1</v>
      </c>
      <c r="F82" s="158">
        <v>1</v>
      </c>
      <c r="G82" s="153"/>
      <c r="H82" s="159">
        <f t="shared" si="1"/>
        <v>76</v>
      </c>
      <c r="I82" s="160">
        <v>6.25E-2</v>
      </c>
      <c r="J82" s="158">
        <v>0.1</v>
      </c>
      <c r="K82" s="158">
        <v>0.25</v>
      </c>
      <c r="L82" s="153"/>
    </row>
    <row r="83" spans="1:12" ht="14" x14ac:dyDescent="0.4">
      <c r="A83" s="153"/>
      <c r="B83" s="159">
        <f t="shared" si="0"/>
        <v>77</v>
      </c>
      <c r="C83" s="158">
        <v>1</v>
      </c>
      <c r="D83" s="160">
        <v>6.25E-2</v>
      </c>
      <c r="E83" s="158">
        <v>1</v>
      </c>
      <c r="F83" s="158">
        <v>1</v>
      </c>
      <c r="G83" s="153"/>
      <c r="H83" s="159">
        <f t="shared" si="1"/>
        <v>77</v>
      </c>
      <c r="I83" s="160">
        <v>6.25E-2</v>
      </c>
      <c r="J83" s="158">
        <v>0.1</v>
      </c>
      <c r="K83" s="158">
        <v>0.25</v>
      </c>
      <c r="L83" s="153"/>
    </row>
    <row r="84" spans="1:12" ht="14" x14ac:dyDescent="0.4">
      <c r="A84" s="153"/>
      <c r="B84" s="159">
        <f t="shared" si="0"/>
        <v>78</v>
      </c>
      <c r="C84" s="158">
        <v>1</v>
      </c>
      <c r="D84" s="160">
        <v>6.25E-2</v>
      </c>
      <c r="E84" s="158">
        <v>1</v>
      </c>
      <c r="F84" s="158">
        <v>1</v>
      </c>
      <c r="G84" s="153"/>
      <c r="H84" s="159">
        <f t="shared" si="1"/>
        <v>78</v>
      </c>
      <c r="I84" s="160">
        <v>6.25E-2</v>
      </c>
      <c r="J84" s="158">
        <v>0.1</v>
      </c>
      <c r="K84" s="158">
        <v>0.25</v>
      </c>
      <c r="L84" s="153"/>
    </row>
    <row r="85" spans="1:12" ht="14" x14ac:dyDescent="0.4">
      <c r="A85" s="153"/>
      <c r="B85" s="159">
        <f t="shared" si="0"/>
        <v>79</v>
      </c>
      <c r="C85" s="158">
        <v>1</v>
      </c>
      <c r="D85" s="160">
        <v>6.25E-2</v>
      </c>
      <c r="E85" s="158">
        <v>1</v>
      </c>
      <c r="F85" s="158">
        <v>1</v>
      </c>
      <c r="G85" s="153"/>
      <c r="H85" s="159">
        <f t="shared" si="1"/>
        <v>79</v>
      </c>
      <c r="I85" s="160">
        <v>6.25E-2</v>
      </c>
      <c r="J85" s="158">
        <v>0.1</v>
      </c>
      <c r="K85" s="158">
        <v>0.25</v>
      </c>
      <c r="L85" s="153"/>
    </row>
    <row r="86" spans="1:12" ht="14.5" thickBot="1" x14ac:dyDescent="0.45">
      <c r="A86" s="153"/>
      <c r="B86" s="161">
        <f t="shared" si="0"/>
        <v>80</v>
      </c>
      <c r="C86" s="162">
        <v>1</v>
      </c>
      <c r="D86" s="163">
        <v>6.25E-2</v>
      </c>
      <c r="E86" s="162">
        <v>1</v>
      </c>
      <c r="F86" s="162">
        <v>1</v>
      </c>
      <c r="G86" s="153"/>
      <c r="H86" s="161">
        <f t="shared" si="1"/>
        <v>80</v>
      </c>
      <c r="I86" s="163">
        <v>6.25E-2</v>
      </c>
      <c r="J86" s="162">
        <v>0.1</v>
      </c>
      <c r="K86" s="162">
        <v>0.25</v>
      </c>
      <c r="L86" s="153"/>
    </row>
    <row r="87" spans="1:12" ht="12.5" x14ac:dyDescent="0.25">
      <c r="A87" s="153"/>
      <c r="B87" s="153"/>
      <c r="C87" s="153"/>
      <c r="D87" s="153"/>
      <c r="E87" s="153"/>
      <c r="F87" s="153"/>
      <c r="G87" s="153"/>
      <c r="H87" s="153"/>
      <c r="I87" s="153"/>
      <c r="J87" s="153"/>
      <c r="K87" s="153"/>
      <c r="L87" s="153"/>
    </row>
  </sheetData>
  <sheetProtection password="CAA2" sheet="1" objects="1" scenarios="1"/>
  <mergeCells count="3">
    <mergeCell ref="K1:L1"/>
    <mergeCell ref="B4:F4"/>
    <mergeCell ref="H4:K4"/>
  </mergeCells>
  <pageMargins left="0.11811023622047245" right="0.11811023622047245" top="0.15748031496062992" bottom="1.6250000000000001E-2" header="0.31496062992125984" footer="0.31496062992125984"/>
  <pageSetup paperSize="5" scale="78" orientation="portrait" verticalDpi="599" r:id="rId1"/>
  <headerFooter>
    <oddFooter>&amp;L&amp;8&amp;F&amp;CPage &amp;P de &amp;N&amp;R&amp;8Révisé le: 20 janvier 2013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006854fe-5de2-416e-ac05-e93cdcd98ac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22A9729627AA4EAF6599EC3658A2BC" ma:contentTypeVersion="17" ma:contentTypeDescription="Crée un document." ma:contentTypeScope="" ma:versionID="cb0a97c57767f7a942170acbfac34c3b">
  <xsd:schema xmlns:xsd="http://www.w3.org/2001/XMLSchema" xmlns:xs="http://www.w3.org/2001/XMLSchema" xmlns:p="http://schemas.microsoft.com/office/2006/metadata/properties" xmlns:ns1="http://schemas.microsoft.com/sharepoint/v3" xmlns:ns3="006854fe-5de2-416e-ac05-e93cdcd98acf" xmlns:ns4="d8675e65-7898-41c2-8a14-78f42cb6e63b" targetNamespace="http://schemas.microsoft.com/office/2006/metadata/properties" ma:root="true" ma:fieldsID="baac506dc9022fedef2ebcbb6deea6d6" ns1:_="" ns3:_="" ns4:_="">
    <xsd:import namespace="http://schemas.microsoft.com/sharepoint/v3"/>
    <xsd:import namespace="006854fe-5de2-416e-ac05-e93cdcd98acf"/>
    <xsd:import namespace="d8675e65-7898-41c2-8a14-78f42cb6e63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1:_ip_UnifiedCompliancePolicyProperties" minOccurs="0"/>
                <xsd:element ref="ns1:_ip_UnifiedCompliancePolicyUIAction" minOccurs="0"/>
                <xsd:element ref="ns3:MediaServiceSearchPropertie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Propriétés de la stratégie de conformité unifiée" ma:hidden="true" ma:internalName="_ip_UnifiedCompliancePolicyProperties">
      <xsd:simpleType>
        <xsd:restriction base="dms:Note"/>
      </xsd:simpleType>
    </xsd:element>
    <xsd:element name="_ip_UnifiedCompliancePolicyUIAction" ma:index="22"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06854fe-5de2-416e-ac05-e93cdcd98a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675e65-7898-41c2-8a14-78f42cb6e63b"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element name="SharingHintHash" ma:index="17"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283623-712F-4867-8B26-7E26ABEC25FF}">
  <ds:schemaRefs>
    <ds:schemaRef ds:uri="http://schemas.microsoft.com/sharepoint/v3/contenttype/forms"/>
  </ds:schemaRefs>
</ds:datastoreItem>
</file>

<file path=customXml/itemProps2.xml><?xml version="1.0" encoding="utf-8"?>
<ds:datastoreItem xmlns:ds="http://schemas.openxmlformats.org/officeDocument/2006/customXml" ds:itemID="{9C8AB4A7-A38C-451B-997B-5C53AA556F78}">
  <ds:schemaRefs>
    <ds:schemaRef ds:uri="d8675e65-7898-41c2-8a14-78f42cb6e63b"/>
    <ds:schemaRef ds:uri="006854fe-5de2-416e-ac05-e93cdcd98acf"/>
    <ds:schemaRef ds:uri="http://schemas.microsoft.com/office/2006/metadata/properties"/>
    <ds:schemaRef ds:uri="http://schemas.microsoft.com/office/2006/documentManagement/types"/>
    <ds:schemaRef ds:uri="http://purl.org/dc/terms/"/>
    <ds:schemaRef ds:uri="http://schemas.microsoft.com/office/infopath/2007/PartnerControls"/>
    <ds:schemaRef ds:uri="http://www.w3.org/XML/1998/namespace"/>
    <ds:schemaRef ds:uri="http://purl.org/dc/elements/1.1/"/>
    <ds:schemaRef ds:uri="http://schemas.openxmlformats.org/package/2006/metadata/core-properties"/>
    <ds:schemaRef ds:uri="http://schemas.microsoft.com/sharepoint/v3"/>
    <ds:schemaRef ds:uri="http://purl.org/dc/dcmitype/"/>
  </ds:schemaRefs>
</ds:datastoreItem>
</file>

<file path=customXml/itemProps3.xml><?xml version="1.0" encoding="utf-8"?>
<ds:datastoreItem xmlns:ds="http://schemas.openxmlformats.org/officeDocument/2006/customXml" ds:itemID="{CDA16887-46A2-4253-9C6B-ADF1C6582D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06854fe-5de2-416e-ac05-e93cdcd98acf"/>
    <ds:schemaRef ds:uri="d8675e65-7898-41c2-8a14-78f42cb6e6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Financement PFI</vt:lpstr>
      <vt:lpstr>RB PFI 2025-2026</vt:lpstr>
      <vt:lpstr>macros</vt:lpstr>
      <vt:lpstr>Annexe III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Homri, Sarra</dc:creator>
  <cp:lastModifiedBy>Brisson, Olivier</cp:lastModifiedBy>
  <dcterms:created xsi:type="dcterms:W3CDTF">2015-06-05T18:19:34Z</dcterms:created>
  <dcterms:modified xsi:type="dcterms:W3CDTF">2025-10-06T18:49:21Z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0x0101004C22A9729627AA4EAF6599EC3658A2BC</vt:lpwstr>
  </property>
</Properties>
</file>