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T:\MFA-DGSGEE-DFISG\PUBLIC\1000-Services-garde\1309-Regles-budgetaires-occupation\Divers\Subv-Calcul-Excel\VersionFinale\"/>
    </mc:Choice>
  </mc:AlternateContent>
  <xr:revisionPtr revIDLastSave="0" documentId="8_{291274D4-4A80-4B7B-BA15-31BBB4142D01}" xr6:coauthVersionLast="47" xr6:coauthVersionMax="47" xr10:uidLastSave="{00000000-0000-0000-0000-000000000000}"/>
  <workbookProtection workbookAlgorithmName="SHA-512" workbookHashValue="32QjwsQGKCo0j8lQVu0U1zdM72bmoDOWCzoQA2UpZjnZxhLOfaaHRZxFOsW1XotfHjOA62eKiKTiq+jXwZ5j0w==" workbookSaltValue="Vt7hrzIi2p1F1+njOQ5hNQ==" workbookSpinCount="100000" lockStructure="1"/>
  <bookViews>
    <workbookView xWindow="45972" yWindow="1104" windowWidth="23256" windowHeight="12456" tabRatio="702" firstSheet="1" activeTab="1" xr2:uid="{00000000-000D-0000-FFFF-FFFF00000000}"/>
  </bookViews>
  <sheets>
    <sheet name="Barème" sheetId="34" state="hidden" r:id="rId1"/>
    <sheet name="Calcul-Subv-GS" sheetId="24" r:id="rId2"/>
  </sheets>
  <definedNames>
    <definedName name="_xlnm._FilterDatabase" localSheetId="1" hidden="1">'Calcul-Subv-GS'!$A$1:$A$241</definedName>
    <definedName name="_xlnm.Print_Area" localSheetId="1">'Calcul-Subv-GS'!$C$1:$H$241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4" i="24" l="1"/>
  <c r="H191" i="24"/>
  <c r="H186" i="24"/>
  <c r="F116" i="24"/>
  <c r="F203" i="24"/>
  <c r="F53" i="24" l="1"/>
  <c r="F239" i="24"/>
  <c r="E199" i="24" l="1" a="1"/>
  <c r="E199" i="24" s="1"/>
  <c r="D199" i="24" a="1"/>
  <c r="D199" i="24" s="1"/>
  <c r="F200" i="24" l="1"/>
  <c r="F193" i="24" l="1"/>
  <c r="F187" i="24"/>
  <c r="D121" i="24" a="1"/>
  <c r="D121" i="24" s="1"/>
  <c r="F125" i="24" s="1"/>
  <c r="E160" i="24" a="1"/>
  <c r="E160" i="24" s="1"/>
  <c r="F169" i="24" s="1"/>
  <c r="D160" i="24" a="1"/>
  <c r="D160" i="24" s="1"/>
  <c r="H163" i="24" s="1"/>
  <c r="E138" i="24" l="1"/>
  <c r="D138" i="24"/>
  <c r="D68" i="24"/>
  <c r="D69" i="24"/>
  <c r="D67" i="24"/>
  <c r="F140" i="24" l="1"/>
  <c r="E122" i="24"/>
  <c r="D60" i="24" a="1"/>
  <c r="D60" i="24" s="1"/>
  <c r="D61" i="24" a="1"/>
  <c r="D61" i="24" s="1"/>
  <c r="D59" i="24" a="1"/>
  <c r="D59" i="24" s="1"/>
  <c r="D75" i="24" l="1" a="1"/>
  <c r="D75" i="24" s="1"/>
  <c r="D73" i="24" a="1"/>
  <c r="D73" i="24" s="1"/>
  <c r="H78" i="24" s="1"/>
  <c r="D71" i="24" a="1"/>
  <c r="D71" i="24" s="1"/>
  <c r="D37" i="24" a="1"/>
  <c r="D37" i="24" s="1"/>
  <c r="F37" i="24" s="1"/>
  <c r="D36" i="24" a="1"/>
  <c r="D36" i="24" s="1"/>
  <c r="F36" i="24" s="1"/>
  <c r="D35" i="24" a="1"/>
  <c r="D35" i="24" s="1"/>
  <c r="F35" i="24" s="1"/>
  <c r="F77" i="24" l="1"/>
  <c r="D173" i="34"/>
  <c r="D174" i="34"/>
  <c r="C174" i="34"/>
  <c r="C173" i="34"/>
  <c r="C175" i="34" l="1"/>
  <c r="D175" i="34"/>
  <c r="F54" i="24"/>
  <c r="F52" i="24"/>
  <c r="E227" i="24" a="1"/>
  <c r="E227" i="24" s="1"/>
  <c r="F228" i="24" s="1"/>
  <c r="D221" i="24" a="1"/>
  <c r="D221" i="24" s="1"/>
  <c r="E220" i="24" a="1"/>
  <c r="E220" i="24" s="1"/>
  <c r="D220" i="24" a="1"/>
  <c r="D220" i="24" s="1"/>
  <c r="D213" i="24" a="1"/>
  <c r="D213" i="24" s="1"/>
  <c r="E206" i="24" a="1"/>
  <c r="E206" i="24" s="1"/>
  <c r="D206" i="24" a="1"/>
  <c r="D206" i="24" s="1"/>
  <c r="E204" i="24" a="1"/>
  <c r="E204" i="24" s="1"/>
  <c r="D204" i="24" a="1"/>
  <c r="D204" i="24" s="1"/>
  <c r="H209" i="24" s="1"/>
  <c r="E176" i="24" a="1"/>
  <c r="E176" i="24" s="1"/>
  <c r="D176" i="24" a="1"/>
  <c r="D176" i="24" s="1"/>
  <c r="H196" i="24" s="1"/>
  <c r="E174" i="24" a="1"/>
  <c r="E174" i="24" s="1"/>
  <c r="D174" i="24" a="1"/>
  <c r="D174" i="24" s="1"/>
  <c r="E149" i="24" a="1"/>
  <c r="E149" i="24" s="1"/>
  <c r="D149" i="24" a="1"/>
  <c r="D149" i="24" s="1"/>
  <c r="D137" i="24" a="1"/>
  <c r="D137" i="24" s="1"/>
  <c r="H141" i="24" s="1"/>
  <c r="E142" i="24" a="1"/>
  <c r="E142" i="24" s="1"/>
  <c r="E137" i="24" a="1"/>
  <c r="E137" i="24" s="1"/>
  <c r="H142" i="24" s="1"/>
  <c r="E130" i="24" a="1"/>
  <c r="E130" i="24" s="1"/>
  <c r="E128" i="24" a="1"/>
  <c r="E128" i="24" s="1"/>
  <c r="D127" i="24" a="1"/>
  <c r="D127" i="24" s="1"/>
  <c r="E121" i="24" a="1"/>
  <c r="E121" i="24" s="1"/>
  <c r="F126" i="24" s="1"/>
  <c r="D111" i="24" a="1"/>
  <c r="D111" i="24" s="1"/>
  <c r="E111" i="24" a="1"/>
  <c r="E111" i="24" s="1"/>
  <c r="E97" i="24" a="1"/>
  <c r="E97" i="24" s="1"/>
  <c r="D97" i="24" a="1"/>
  <c r="D97" i="24" s="1"/>
  <c r="H98" i="24" s="1"/>
  <c r="E91" i="24" a="1"/>
  <c r="E91" i="24" s="1"/>
  <c r="D91" i="24" a="1"/>
  <c r="D91" i="24" s="1"/>
  <c r="H94" i="24" s="1"/>
  <c r="E83" i="24" a="1"/>
  <c r="E83" i="24" s="1"/>
  <c r="D83" i="24" a="1"/>
  <c r="D83" i="24" s="1"/>
  <c r="H88" i="24" s="1"/>
  <c r="D85" i="24" a="1"/>
  <c r="D85" i="24" s="1"/>
  <c r="H100" i="24" l="1"/>
  <c r="F93" i="24"/>
  <c r="F99" i="24"/>
  <c r="F87" i="24"/>
  <c r="F24" i="24" a="1"/>
  <c r="F24" i="24" s="1"/>
  <c r="F165" i="24"/>
  <c r="F61" i="24"/>
  <c r="F49" i="24" l="1"/>
  <c r="F47" i="24"/>
  <c r="F48" i="24"/>
  <c r="F59" i="24"/>
  <c r="A54" i="34"/>
  <c r="A53" i="34"/>
  <c r="D106" i="24" l="1" a="1"/>
  <c r="D106" i="24" s="1"/>
  <c r="D105" i="24" a="1"/>
  <c r="D105" i="24" s="1"/>
  <c r="F60" i="24"/>
  <c r="F131" i="24" l="1"/>
  <c r="F33" i="24" l="1"/>
  <c r="F106" i="24" l="1"/>
  <c r="F213" i="24"/>
  <c r="F214" i="24" s="1"/>
  <c r="F167" i="24"/>
  <c r="F168" i="24" s="1"/>
  <c r="F207" i="24"/>
  <c r="F208" i="24" s="1"/>
  <c r="F204" i="24"/>
  <c r="F150" i="24"/>
  <c r="F105" i="24"/>
  <c r="F38" i="24"/>
  <c r="F78" i="24" s="1"/>
  <c r="F56" i="24" l="1"/>
  <c r="F171" i="24" l="1"/>
  <c r="F222" i="24" l="1"/>
  <c r="F55" i="24"/>
  <c r="F51" i="24"/>
  <c r="F50" i="24"/>
  <c r="F113" i="24"/>
  <c r="F112" i="24"/>
  <c r="F194" i="24" l="1"/>
  <c r="F196" i="24" s="1"/>
  <c r="F127" i="24"/>
  <c r="F128" i="24"/>
  <c r="F114" i="24"/>
  <c r="F129" i="24" l="1"/>
  <c r="F118" i="24"/>
  <c r="F62" i="24"/>
  <c r="F130" i="24" l="1"/>
  <c r="F132" i="24" s="1"/>
  <c r="F134" i="24" s="1"/>
  <c r="F80" i="24"/>
  <c r="F88" i="24" s="1"/>
  <c r="F108" i="24"/>
  <c r="F141" i="24" l="1"/>
  <c r="F100" i="24"/>
  <c r="F94" i="24" l="1"/>
  <c r="F102" i="24" l="1"/>
  <c r="F220" i="24" l="1"/>
  <c r="F224" i="24" s="1"/>
  <c r="F216" i="24"/>
  <c r="F142" i="24"/>
  <c r="F144" i="24" s="1"/>
  <c r="F146" i="24" s="1"/>
  <c r="F205" i="24" s="1"/>
  <c r="F209" i="24" s="1"/>
  <c r="F230" i="24" l="1"/>
  <c r="F153" i="24"/>
  <c r="F232" i="24" l="1"/>
  <c r="F241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<sst xmlns="http://schemas.openxmlformats.org/spreadsheetml/2006/main" count="728" uniqueCount="307">
  <si>
    <t>0-17 mois</t>
  </si>
  <si>
    <t>Taux d'occupation 18-47 mois</t>
  </si>
  <si>
    <t>18-47 mois</t>
  </si>
  <si>
    <t>48-59 mois</t>
  </si>
  <si>
    <t>Services administratifs (moins 60 places)</t>
  </si>
  <si>
    <t>Services administratifs (61 places et plus)</t>
  </si>
  <si>
    <t>Total des jours d'occupation pondéré</t>
  </si>
  <si>
    <t>Services auxiliaires - Volet A</t>
  </si>
  <si>
    <t>Services auxiliaires - Volet B</t>
  </si>
  <si>
    <t>Total avant contribution réduite</t>
  </si>
  <si>
    <t>Volet A</t>
  </si>
  <si>
    <t>Volet B</t>
  </si>
  <si>
    <t>Petite installation (32 places et moins)</t>
  </si>
  <si>
    <t>Jours d'occupation pondérés 18-47 mois</t>
  </si>
  <si>
    <t>Allocation de base</t>
  </si>
  <si>
    <t>Montréal</t>
  </si>
  <si>
    <t>Urbaine</t>
  </si>
  <si>
    <t>Centrale</t>
  </si>
  <si>
    <t>Ressource</t>
  </si>
  <si>
    <t>Taux horaire de référence</t>
  </si>
  <si>
    <t>Taux d'ajustement de la rémunération</t>
  </si>
  <si>
    <t>Facteur d'ajustement pour la qualification</t>
  </si>
  <si>
    <t>Qualification</t>
  </si>
  <si>
    <t>Rémunération du personnel de garde</t>
  </si>
  <si>
    <t>Optimisation des services</t>
  </si>
  <si>
    <t>Contribution réduite</t>
  </si>
  <si>
    <t>Facteurs d'ajustement</t>
  </si>
  <si>
    <t>Pondération</t>
  </si>
  <si>
    <t>Barèmes</t>
  </si>
  <si>
    <t>Heures travaillées</t>
  </si>
  <si>
    <t>Facteur d'ajustement pour les heures travaillées</t>
  </si>
  <si>
    <t>Barème (&gt;60 places)</t>
  </si>
  <si>
    <t>Barème (=&lt;60 places)</t>
  </si>
  <si>
    <t>Coûts d'occupation des locaux (COL)</t>
  </si>
  <si>
    <t>COL selon barème de référence</t>
  </si>
  <si>
    <t>Montant minimal</t>
  </si>
  <si>
    <t>COL après ajustement</t>
  </si>
  <si>
    <t>Facteur d'ajustement calculé</t>
  </si>
  <si>
    <t>Appliquer borne maximale</t>
  </si>
  <si>
    <t>Appliquer borne minimale</t>
  </si>
  <si>
    <t>Borne min</t>
  </si>
  <si>
    <t>Borne max</t>
  </si>
  <si>
    <t>Facteur d'ajustement borné</t>
  </si>
  <si>
    <t>Nombre de jours de fermeture excédentaires</t>
  </si>
  <si>
    <t>COL après Ajustement pour les jours excédentaires</t>
  </si>
  <si>
    <t>Seuil d'occupation</t>
  </si>
  <si>
    <t>Seuil de présence</t>
  </si>
  <si>
    <t>Allocation Protocole Gard-CISSS/CIUSSS</t>
  </si>
  <si>
    <t>Allocation compensatoire liée au protocole CISSS/ CIUSSS</t>
  </si>
  <si>
    <t>Norme de base</t>
  </si>
  <si>
    <t>Norme additionnelle</t>
  </si>
  <si>
    <t>Seuil de ECP (Min)</t>
  </si>
  <si>
    <t>Seuil de ECP (Max)</t>
  </si>
  <si>
    <t xml:space="preserve">Allocation ECP </t>
  </si>
  <si>
    <t>Allocation pour la garde à horaire non usuels (GHNU)</t>
  </si>
  <si>
    <t>Allocation pour petite installation (32 places et moins)</t>
  </si>
  <si>
    <t>Barème volet A</t>
  </si>
  <si>
    <t>Barème volet B</t>
  </si>
  <si>
    <t>Total des allocations supplémentaires retenues</t>
  </si>
  <si>
    <t>Total de l'allocation de base</t>
  </si>
  <si>
    <t>Absence*</t>
  </si>
  <si>
    <t>Taux d'occupation global (Tx d'occ brut)</t>
  </si>
  <si>
    <t>Taux de présence 0-17 mois</t>
  </si>
  <si>
    <t>Taux de présence 18-47 mois</t>
  </si>
  <si>
    <t>Taux de présence ajusté par AISG, ECP, GHNU (Tx de présence selon les RB)</t>
  </si>
  <si>
    <t>Taux d'occupation ajusté par AISG (Tx d'occupation selon les RB)</t>
  </si>
  <si>
    <t>Jours de présence des enfants admissibles à l'AISG</t>
  </si>
  <si>
    <t>Taux de présence ECP</t>
  </si>
  <si>
    <t>Jours de présence ECP</t>
  </si>
  <si>
    <t>Ajustement pour les jours excédentaires</t>
  </si>
  <si>
    <t>Total - Services administratifs avant ajustement de fermeture</t>
  </si>
  <si>
    <t>Québec</t>
  </si>
  <si>
    <t>Nombre de jours d'ouverture considéré</t>
  </si>
  <si>
    <t xml:space="preserve">Facteur d'ajustement pour la rémunération </t>
  </si>
  <si>
    <t>Taux d'occupation moins de 18 mois</t>
  </si>
  <si>
    <t>Taux d'occupation 48 mois et plus</t>
  </si>
  <si>
    <t>Jours d'occupation pondérés moins de 18 mois</t>
  </si>
  <si>
    <t>Jours d'occupation pondérés 48 mois et plus</t>
  </si>
  <si>
    <t>Taux de présence 48 mois et plus</t>
  </si>
  <si>
    <t>Taux de présence global (Tx de présence brut)</t>
  </si>
  <si>
    <t>Services directs selon les barèmes</t>
  </si>
  <si>
    <t>Jours réservés non occupés 0-17 mois</t>
  </si>
  <si>
    <t>Jours réservés non occupés - 18 mois et plus</t>
  </si>
  <si>
    <t>Nombre de places réservées 0-17 mois</t>
  </si>
  <si>
    <t>Nombre de places réservées 18 mois et plus</t>
  </si>
  <si>
    <t>Allocation spécifique 2</t>
  </si>
  <si>
    <t>Allocation spécifique 3</t>
  </si>
  <si>
    <t>Allocation spécifique 4</t>
  </si>
  <si>
    <t>Total de la subvention de fonctionnement</t>
  </si>
  <si>
    <t>Facteur d'ajust Rem pour une nouvelle ouverture</t>
  </si>
  <si>
    <t>Allocation pour l'intégration en service de garde (AISG)</t>
  </si>
  <si>
    <t>Montant forfaitaire (auparavant nommé Volet A)</t>
  </si>
  <si>
    <t>ANNEXE À LA DEMANDE D'APPROBATION DES RÈGLES BUDGÉTAIRES
 BARÈMES</t>
  </si>
  <si>
    <t>CENTRES DE LA PETITE ENFANCE</t>
  </si>
  <si>
    <t> </t>
  </si>
  <si>
    <t>Services directs / jour d'occupation</t>
  </si>
  <si>
    <t>Services auxiliaires / jour d'occupation</t>
  </si>
  <si>
    <t xml:space="preserve">Volet B </t>
  </si>
  <si>
    <t xml:space="preserve">Services administratifs / place annualisée </t>
  </si>
  <si>
    <t>Coûts d'occupation des locaux / place annualisée</t>
  </si>
  <si>
    <t>Volet B (CPE locataire seulement) : dépense admissible 2021-2022 moins le montant du volet A plus indexation de 6,46 %. Ne peut dépasser le maximum établi pour la région. L'indexation de 2022-2023 était de 3,8 %.</t>
  </si>
  <si>
    <t>S.O</t>
  </si>
  <si>
    <t>Contribution parentale de base</t>
  </si>
  <si>
    <r>
      <t>1</t>
    </r>
    <r>
      <rPr>
        <vertAlign val="superscript"/>
        <sz val="9.5"/>
        <rFont val="Arial"/>
        <family val="2"/>
      </rPr>
      <t>er</t>
    </r>
    <r>
      <rPr>
        <sz val="9.5"/>
        <rFont val="Arial"/>
        <family val="2"/>
      </rPr>
      <t xml:space="preserve"> avril au 31 décembre</t>
    </r>
  </si>
  <si>
    <r>
      <t>1</t>
    </r>
    <r>
      <rPr>
        <vertAlign val="superscript"/>
        <sz val="9.5"/>
        <rFont val="Arial"/>
        <family val="2"/>
      </rPr>
      <t>er</t>
    </r>
    <r>
      <rPr>
        <sz val="9.5"/>
        <rFont val="Arial"/>
        <family val="2"/>
      </rPr>
      <t xml:space="preserve"> janvier au 31 mars </t>
    </r>
  </si>
  <si>
    <r>
      <t>Allocations supplémentaires</t>
    </r>
    <r>
      <rPr>
        <sz val="9.5"/>
        <rFont val="Arial"/>
        <family val="2"/>
      </rPr>
      <t xml:space="preserve">
(par jour d'occupation à moins indication contraire)</t>
    </r>
  </si>
  <si>
    <t xml:space="preserve">Exemption de la contribution de base </t>
  </si>
  <si>
    <r>
      <t>1</t>
    </r>
    <r>
      <rPr>
        <vertAlign val="superscript"/>
        <sz val="9.5"/>
        <rFont val="Arial"/>
        <family val="2"/>
      </rPr>
      <t>er</t>
    </r>
    <r>
      <rPr>
        <sz val="9.5"/>
        <rFont val="Arial"/>
        <family val="2"/>
      </rPr>
      <t xml:space="preserve"> janvier au 31 mars</t>
    </r>
  </si>
  <si>
    <t>Intégration des enfants AISG</t>
  </si>
  <si>
    <t>Allocation compensatoire liée au protocole CPE-CISSS/CIUSSS</t>
  </si>
  <si>
    <t>Allocation pour la garde à temps partiel</t>
  </si>
  <si>
    <t>Allocation pour une petite installation - Volet B</t>
  </si>
  <si>
    <t>GARDERIES SUBVENTIONNÉES</t>
  </si>
  <si>
    <t>Volet B (montant accordé pour les jours d'occupation inférieur à 20 880)</t>
  </si>
  <si>
    <t xml:space="preserve">Services administratifs/ place annualisée </t>
  </si>
  <si>
    <r>
      <t>Allocations supplémentaires</t>
    </r>
    <r>
      <rPr>
        <sz val="9.5"/>
        <rFont val="Arial"/>
        <family val="2"/>
      </rPr>
      <t xml:space="preserve">
(par jour d'occupation sauf indication contraire)</t>
    </r>
  </si>
  <si>
    <t>Exemption de la contribution de base</t>
  </si>
  <si>
    <t>PCRS / jour classe</t>
  </si>
  <si>
    <t>PCRS/ jour pédagogique</t>
  </si>
  <si>
    <t>2024-2025</t>
  </si>
  <si>
    <t>2023-2024</t>
  </si>
  <si>
    <r>
      <rPr>
        <b/>
        <sz val="9.5"/>
        <rFont val="Arial"/>
        <family val="2"/>
      </rPr>
      <t>AISG</t>
    </r>
    <r>
      <rPr>
        <sz val="9.5"/>
        <rFont val="Arial"/>
        <family val="2"/>
      </rPr>
      <t xml:space="preserve"> - volet A (forfaitaire pour gestion du dossier et équipement)</t>
    </r>
  </si>
  <si>
    <r>
      <rPr>
        <b/>
        <sz val="9.5"/>
        <rFont val="Arial"/>
        <family val="2"/>
      </rPr>
      <t>AISG</t>
    </r>
    <r>
      <rPr>
        <sz val="9.5"/>
        <rFont val="Arial"/>
        <family val="2"/>
      </rPr>
      <t xml:space="preserve"> - volet B (fonctionnement)</t>
    </r>
  </si>
  <si>
    <t xml:space="preserve">Autres paramètres de financement </t>
  </si>
  <si>
    <t>Pondération des jours d'occupation</t>
  </si>
  <si>
    <t>Rémunération du personnel de garde :</t>
  </si>
  <si>
    <t>Facteurs d'ajustement :</t>
  </si>
  <si>
    <t xml:space="preserve">Qualification : </t>
  </si>
  <si>
    <t>Taux d'ajustement de la rémunération (CPE)</t>
  </si>
  <si>
    <t>Taux d'ajustement de la rémunération (GS)</t>
  </si>
  <si>
    <t>Coûts d'occupation des locaux (COL/GS)</t>
  </si>
  <si>
    <t>Coûts d'occupation des locaux (COL/CPE)</t>
  </si>
  <si>
    <t>Absences rémunérées :</t>
  </si>
  <si>
    <t>Prop. Applicable (CPE)</t>
  </si>
  <si>
    <t>Volet A :</t>
  </si>
  <si>
    <t>Montant minimum</t>
  </si>
  <si>
    <t>Volet B :</t>
  </si>
  <si>
    <t>Taux d'indexation</t>
  </si>
  <si>
    <t>la Communauté métropolitaine de Québec</t>
  </si>
  <si>
    <t>les régions urbaines</t>
  </si>
  <si>
    <t>les régions centrales</t>
  </si>
  <si>
    <t>les régions ressources</t>
  </si>
  <si>
    <t>Montant maximum régional par place annualisée :</t>
  </si>
  <si>
    <t>Allocations supplémentaires</t>
  </si>
  <si>
    <t>Allocation pour une petite installation</t>
  </si>
  <si>
    <t>Prop. Applicable (qualif)</t>
  </si>
  <si>
    <t>Seuil minimal (qualif)</t>
  </si>
  <si>
    <t>Seuil minimal (H.T)</t>
  </si>
  <si>
    <t>Prop. Applicable (H.T)</t>
  </si>
  <si>
    <t>Seuil minimal (abs)</t>
  </si>
  <si>
    <t>Prop. Applicable (abs)</t>
  </si>
  <si>
    <t>Barème de référence/PSA</t>
  </si>
  <si>
    <t>Prop. Applicable (présence)</t>
  </si>
  <si>
    <t>1er avril au 31 décembre</t>
  </si>
  <si>
    <t xml:space="preserve">1er janvier au 31 mars </t>
  </si>
  <si>
    <t>AISG ( récurrent) -  Volet B</t>
  </si>
  <si>
    <t>Inscription AISG - Volet A</t>
  </si>
  <si>
    <t>0-17 mois (protocole)</t>
  </si>
  <si>
    <t>18 mois et plus (protocole)</t>
  </si>
  <si>
    <t>Max de places annualisées</t>
  </si>
  <si>
    <t>Seuil du taux d'occupation (min)</t>
  </si>
  <si>
    <t>Allocation pour une installation recevant des enfants issus d’un milieu défavorisé (ECP)</t>
  </si>
  <si>
    <t>Proportion appliquée</t>
  </si>
  <si>
    <t>Nombre de places subventionnées</t>
  </si>
  <si>
    <t>Barème (GS)</t>
  </si>
  <si>
    <t>Barème (CPE)</t>
  </si>
  <si>
    <t>Places annualisées de 0 à 17 mois</t>
  </si>
  <si>
    <t>Information et note pour les formules</t>
  </si>
  <si>
    <t>Année1</t>
  </si>
  <si>
    <t>Année2</t>
  </si>
  <si>
    <t>Formule</t>
  </si>
  <si>
    <t>oui</t>
  </si>
  <si>
    <t>non</t>
  </si>
  <si>
    <t>Menu déroulant Oui/Non</t>
  </si>
  <si>
    <t>Menu déroulant Région</t>
  </si>
  <si>
    <t xml:space="preserve">Formule pas bonne </t>
  </si>
  <si>
    <t>pointait vers CPE</t>
  </si>
  <si>
    <t>0-17 mois - GS</t>
  </si>
  <si>
    <t>18-47 mois - GS</t>
  </si>
  <si>
    <t>48-59 mois - GS</t>
  </si>
  <si>
    <t>Cette ligne sert au formule, les années ne doivent pas changé de lignes</t>
  </si>
  <si>
    <t>0-17 mois - CPE</t>
  </si>
  <si>
    <t>18-47 mois - CPE</t>
  </si>
  <si>
    <t>48-59 mois - CPE</t>
  </si>
  <si>
    <t xml:space="preserve">Menu déroulant Ouverture cette année </t>
  </si>
  <si>
    <t>Menu déroulant Ouverture cette année T-1</t>
  </si>
  <si>
    <t>Menu déroulant Ouverture cette année T-2 et avant</t>
  </si>
  <si>
    <t>Mesure transitoire enfants AISG âgés de 5 ans **</t>
  </si>
  <si>
    <r>
      <t>1</t>
    </r>
    <r>
      <rPr>
        <vertAlign val="superscript"/>
        <sz val="9.5"/>
        <rFont val="Arial"/>
        <family val="2"/>
      </rPr>
      <t>er</t>
    </r>
    <r>
      <rPr>
        <sz val="9.5"/>
        <rFont val="Arial"/>
        <family val="2"/>
      </rPr>
      <t xml:space="preserve"> avril au 31 août*</t>
    </r>
  </si>
  <si>
    <t xml:space="preserve">PCRS** / jour classe </t>
  </si>
  <si>
    <t>PCRS**/ jour pédagogique</t>
  </si>
  <si>
    <t>Mesure transitoire enfants AISG âgés de 5 ans**</t>
  </si>
  <si>
    <r>
      <t>1</t>
    </r>
    <r>
      <rPr>
        <vertAlign val="superscript"/>
        <sz val="9.5"/>
        <rFont val="Arial"/>
        <family val="2"/>
      </rPr>
      <t>er</t>
    </r>
    <r>
      <rPr>
        <sz val="9.5"/>
        <rFont val="Arial"/>
        <family val="2"/>
      </rPr>
      <t xml:space="preserve"> avril au 31  août*</t>
    </r>
  </si>
  <si>
    <t>Pour la formule d'index parfois c'est la colonne A qui est utilisé et parfois la colonne B, pour facilité les formule aurait tout mis dans la même colonne - Phase 2</t>
  </si>
  <si>
    <t>L'information provieent du fichier des paramètres de financement</t>
  </si>
  <si>
    <t>Veuillez sélectionner l'exercice financier</t>
  </si>
  <si>
    <t xml:space="preserve">Pourcentage d'ouverture pendant l'année </t>
  </si>
  <si>
    <t>Pour l'instant on met 100%</t>
  </si>
  <si>
    <t>Ne sert pas dans les formules</t>
  </si>
  <si>
    <t>Masqué</t>
  </si>
  <si>
    <t xml:space="preserve">Allocation spécifique 1 </t>
  </si>
  <si>
    <t>na</t>
  </si>
  <si>
    <t>Jours de présence de 0 à 18 mois</t>
  </si>
  <si>
    <t>Jours de présence de 18 à 47 mois</t>
  </si>
  <si>
    <t>Jours de présence de 48 mois et plus</t>
  </si>
  <si>
    <t>Plus de 2 années d'ouverture</t>
  </si>
  <si>
    <r>
      <t>2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 xml:space="preserve"> année d'ouverture</t>
    </r>
  </si>
  <si>
    <t>Jours réservés occupés protocole 0 à 17 mois</t>
  </si>
  <si>
    <t>Jours d'occupation des enfants en GHNU</t>
  </si>
  <si>
    <t>non nécessaire de distinguer 18-47 et 48 et plus</t>
  </si>
  <si>
    <t>car on y va avec le JO, objectif alléger le texte</t>
  </si>
  <si>
    <t>Places annualisées de 18 à 47 mois NON REQUIS</t>
  </si>
  <si>
    <t>Places annualisées de 18 mois et plus</t>
  </si>
  <si>
    <t>Erreur</t>
  </si>
  <si>
    <t>Nombre de places subventionnées annualisées</t>
  </si>
  <si>
    <t>Allocation pour l'exemption de la contribution réduite (ECP)</t>
  </si>
  <si>
    <t>Non requis pour calcul</t>
  </si>
  <si>
    <r>
      <t xml:space="preserve">La </t>
    </r>
    <r>
      <rPr>
        <b/>
        <sz val="10"/>
        <color rgb="FF000000"/>
        <rFont val="Arial"/>
        <family val="2"/>
      </rPr>
      <t xml:space="preserve">subvention </t>
    </r>
    <r>
      <rPr>
        <sz val="10"/>
        <color rgb="FF000000"/>
        <rFont val="Arial"/>
        <family val="2"/>
      </rPr>
      <t>sera</t>
    </r>
    <r>
      <rPr>
        <b/>
        <sz val="10"/>
        <color rgb="FF000000"/>
        <rFont val="Arial"/>
        <family val="2"/>
      </rPr>
      <t xml:space="preserve"> octroyée </t>
    </r>
    <r>
      <rPr>
        <sz val="10"/>
        <color rgb="FF000000"/>
        <rFont val="Arial"/>
        <family val="2"/>
      </rPr>
      <t xml:space="preserve">sur la base des </t>
    </r>
    <r>
      <rPr>
        <b/>
        <sz val="10"/>
        <color rgb="FF000000"/>
        <rFont val="Arial"/>
        <family val="2"/>
      </rPr>
      <t xml:space="preserve">particularités </t>
    </r>
    <r>
      <rPr>
        <sz val="10"/>
        <color rgb="FF000000"/>
        <rFont val="Arial"/>
        <family val="2"/>
      </rPr>
      <t xml:space="preserve">de </t>
    </r>
    <r>
      <rPr>
        <b/>
        <sz val="10"/>
        <color rgb="FF000000"/>
        <rFont val="Arial"/>
        <family val="2"/>
      </rPr>
      <t>chaque service de garde.</t>
    </r>
  </si>
  <si>
    <t>Estimation d'une subvention de fonctionnement 
pour une garderie subventionnée (GS)</t>
  </si>
  <si>
    <r>
      <rPr>
        <sz val="10"/>
        <color rgb="FF000000"/>
        <rFont val="Arial"/>
        <family val="2"/>
      </rPr>
      <t>Pour les nouvelles GS n'ayant pas de</t>
    </r>
    <r>
      <rPr>
        <b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promesse de subvention, des explications supplémentaires sont indiquées à droite du tableau.</t>
    </r>
  </si>
  <si>
    <t>Représente la présence physique des enfants</t>
  </si>
  <si>
    <r>
      <rPr>
        <b/>
        <sz val="10"/>
        <rFont val="Arial"/>
        <family val="2"/>
      </rPr>
      <t>1 -</t>
    </r>
    <r>
      <rPr>
        <sz val="10"/>
        <rFont val="Arial"/>
        <family val="2"/>
      </rPr>
      <t xml:space="preserve"> (</t>
    </r>
    <r>
      <rPr>
        <b/>
        <sz val="10"/>
        <rFont val="Arial"/>
        <family val="2"/>
      </rPr>
      <t>Heures travaillées</t>
    </r>
    <r>
      <rPr>
        <sz val="10"/>
        <rFont val="Arial"/>
        <family val="2"/>
      </rPr>
      <t xml:space="preserve"> du personnel éducateur </t>
    </r>
    <r>
      <rPr>
        <b/>
        <sz val="10"/>
        <rFont val="Arial"/>
        <family val="2"/>
      </rPr>
      <t>÷ Heures rémunérées</t>
    </r>
    <r>
      <rPr>
        <sz val="10"/>
        <rFont val="Arial"/>
        <family val="2"/>
      </rPr>
      <t xml:space="preserve"> du personnel éducateur)</t>
    </r>
  </si>
  <si>
    <r>
      <t xml:space="preserve">Heures travaillées par des </t>
    </r>
    <r>
      <rPr>
        <b/>
        <sz val="10"/>
        <rFont val="Arial"/>
        <family val="2"/>
      </rPr>
      <t>éducatrices qualifiées ÷</t>
    </r>
    <r>
      <rPr>
        <sz val="10"/>
        <rFont val="Arial"/>
        <family val="2"/>
      </rPr>
      <t xml:space="preserve"> 
Heures travaillées par les </t>
    </r>
    <r>
      <rPr>
        <b/>
        <sz val="10"/>
        <rFont val="Arial"/>
        <family val="2"/>
      </rPr>
      <t>éducatrices qualifiées et non qualifiées</t>
    </r>
  </si>
  <si>
    <r>
      <t xml:space="preserve">jours associés aux </t>
    </r>
    <r>
      <rPr>
        <b/>
        <sz val="10"/>
        <rFont val="Arial"/>
        <family val="2"/>
      </rPr>
      <t>ententes de service</t>
    </r>
    <r>
      <rPr>
        <sz val="10"/>
        <rFont val="Arial"/>
        <family val="2"/>
      </rPr>
      <t xml:space="preserve"> conclues avec le parent</t>
    </r>
  </si>
  <si>
    <t>L'optimisation s'applique uniquement lorsque vous répondez "non" à la question.</t>
  </si>
  <si>
    <r>
      <t xml:space="preserve">Toutes les </t>
    </r>
    <r>
      <rPr>
        <b/>
        <sz val="10"/>
        <color rgb="FF000000"/>
        <rFont val="Arial"/>
        <family val="2"/>
      </rPr>
      <t xml:space="preserve">informations et le détail du calcul </t>
    </r>
    <r>
      <rPr>
        <sz val="10"/>
        <color rgb="FF000000"/>
        <rFont val="Arial"/>
        <family val="2"/>
      </rPr>
      <t>se trouvent dans les</t>
    </r>
    <r>
      <rPr>
        <b/>
        <sz val="10"/>
        <color rgb="FF000000"/>
        <rFont val="Arial"/>
        <family val="2"/>
      </rPr>
      <t xml:space="preserve"> règle</t>
    </r>
    <r>
      <rPr>
        <sz val="10"/>
        <color rgb="FF000000"/>
        <rFont val="Arial"/>
        <family val="2"/>
      </rPr>
      <t xml:space="preserve">s </t>
    </r>
    <r>
      <rPr>
        <b/>
        <sz val="10"/>
        <color rgb="FF000000"/>
        <rFont val="Arial"/>
        <family val="2"/>
      </rPr>
      <t xml:space="preserve">budgétaires </t>
    </r>
    <r>
      <rPr>
        <sz val="10"/>
        <color rgb="FF000000"/>
        <rFont val="Arial"/>
        <family val="2"/>
      </rPr>
      <t>des</t>
    </r>
    <r>
      <rPr>
        <b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garderies subventionnées (GS).</t>
    </r>
  </si>
  <si>
    <r>
      <rPr>
        <sz val="10"/>
        <color rgb="FF000000"/>
        <rFont val="Arial"/>
        <family val="2"/>
      </rPr>
      <t>Vous devez</t>
    </r>
    <r>
      <rPr>
        <b/>
        <sz val="10"/>
        <color rgb="FF000000"/>
        <rFont val="Arial"/>
        <family val="2"/>
      </rPr>
      <t xml:space="preserve"> remplir</t>
    </r>
    <r>
      <rPr>
        <sz val="10"/>
        <color rgb="FF000000"/>
        <rFont val="Arial"/>
        <family val="2"/>
      </rPr>
      <t xml:space="preserve"> les</t>
    </r>
    <r>
      <rPr>
        <b/>
        <sz val="10"/>
        <color rgb="FF000000"/>
        <rFont val="Arial"/>
        <family val="2"/>
      </rPr>
      <t xml:space="preserve"> cases bleues </t>
    </r>
    <r>
      <rPr>
        <sz val="10"/>
        <color rgb="FF000000"/>
        <rFont val="Arial"/>
        <family val="2"/>
      </rPr>
      <t>selon votre situation.</t>
    </r>
  </si>
  <si>
    <t xml:space="preserve">Ajustement pour le seuil d'occupation </t>
  </si>
  <si>
    <t>Ajustement pour le seuil de présence</t>
  </si>
  <si>
    <t>Taux présence des enfants GHNU</t>
  </si>
  <si>
    <t>Jours d'occupation des enfants accueillis à temps partiel</t>
  </si>
  <si>
    <t>Jours d'occupation des enfants admissibles à l'ECP</t>
  </si>
  <si>
    <r>
      <t xml:space="preserve">Nombre d'enfants </t>
    </r>
    <r>
      <rPr>
        <b/>
        <sz val="10"/>
        <rFont val="Arial"/>
        <family val="2"/>
      </rPr>
      <t>enregistrés pour la première fois à l'AISG depuis le 1</t>
    </r>
    <r>
      <rPr>
        <b/>
        <vertAlign val="superscript"/>
        <sz val="10"/>
        <rFont val="Arial"/>
        <family val="2"/>
      </rPr>
      <t xml:space="preserve">er </t>
    </r>
    <r>
      <rPr>
        <b/>
        <sz val="10"/>
        <rFont val="Arial"/>
        <family val="2"/>
      </rPr>
      <t>avril</t>
    </r>
  </si>
  <si>
    <t>Jours d'occupation annuels 0 à 17 mois</t>
  </si>
  <si>
    <t>Jours d'occupation annuels 48 mois et plus</t>
  </si>
  <si>
    <t>Total des jours de présence annuels</t>
  </si>
  <si>
    <t>Total des jours d'occupation annuels</t>
  </si>
  <si>
    <t>Total – Services directs selon les barèmes</t>
  </si>
  <si>
    <t>Ajustement – Rémunération du personnel éducateur</t>
  </si>
  <si>
    <t>Total – Services auxiliaires</t>
  </si>
  <si>
    <t>Total – Services administratifs</t>
  </si>
  <si>
    <t>Total – Coûts d'occupation des locaux</t>
  </si>
  <si>
    <t>Total – Optimisation des services</t>
  </si>
  <si>
    <t>Total – Contribution réduite</t>
  </si>
  <si>
    <t>Allocation – Intégration en service de garde (AISG)</t>
  </si>
  <si>
    <t>Allocation – ECP</t>
  </si>
  <si>
    <t>Allocation – Milieu défavorisé</t>
  </si>
  <si>
    <t>Allocation – GHNU</t>
  </si>
  <si>
    <t>Allocation – Petite installation</t>
  </si>
  <si>
    <t>Allocation – Temps partiel</t>
  </si>
  <si>
    <t>Ajustement – Absences rémunérées</t>
  </si>
  <si>
    <t>Ajustement – Qualification</t>
  </si>
  <si>
    <t>Ajustement – Heures travaillées</t>
  </si>
  <si>
    <t>Jours réservés protocole 0 à 17 mois</t>
  </si>
  <si>
    <t>Jours réservés occupés protocole 18 mois et plus</t>
  </si>
  <si>
    <t>Jours réservés protocole 18 mois et plus</t>
  </si>
  <si>
    <t>Allocation pour la garde à horaires non usuels (GHNU)</t>
  </si>
  <si>
    <t>Total des allocations spécifiques</t>
  </si>
  <si>
    <t>Total de l'allocation de base et des allocations supplémentaires</t>
  </si>
  <si>
    <t>Sous-total – Services directs ajustés pour la rémunération</t>
  </si>
  <si>
    <t>Total – Services direct après ajustements</t>
  </si>
  <si>
    <t>non nécessaire avec le calcul de la promesse</t>
  </si>
  <si>
    <t>changé info colonne A pour mettre même formule</t>
  </si>
  <si>
    <t>Services administratifs</t>
  </si>
  <si>
    <t xml:space="preserve">Nbre de jours de fermeture excédentaire à 13 jours(1er jour de cas fortuit non considéré) dont le service administratif n'est pas offert </t>
  </si>
  <si>
    <t>N'ira pas dans ce détail pour les besoins de ce simulateur</t>
  </si>
  <si>
    <t>Dépense reconnue</t>
  </si>
  <si>
    <t>Je ne tiendrais pas compte de cet élément pour ne pas alourdir le tableau</t>
  </si>
  <si>
    <t>La formule pourrait mettre vraie date au lieu de 75%-25%</t>
  </si>
  <si>
    <t>Nombre d'enfants AISG inscrits ayant déjà obtenu le montant forfaitaire</t>
  </si>
  <si>
    <t>Montant récurrent (auparavant nommé Volet B)</t>
  </si>
  <si>
    <t>Allocation Protocole Garderie-CISSS/CIUSSS</t>
  </si>
  <si>
    <t>Application de la restriction du max de places annualisées</t>
  </si>
  <si>
    <t>Jours d'occupation des enfants en ECP</t>
  </si>
  <si>
    <t>Proportion des jours ECP</t>
  </si>
  <si>
    <t>Si, autochtone, nouvelle installation ou le nbre de place a changé de plus de 20 % que T-1, inscrire "0", sinon "1"</t>
  </si>
  <si>
    <t>Jours de présence des enfants en GHNU</t>
  </si>
  <si>
    <r>
      <t xml:space="preserve">Cet </t>
    </r>
    <r>
      <rPr>
        <b/>
        <sz val="10"/>
        <rFont val="Arial"/>
        <family val="2"/>
      </rPr>
      <t xml:space="preserve">outil </t>
    </r>
    <r>
      <rPr>
        <sz val="10"/>
        <rFont val="Arial"/>
        <family val="2"/>
      </rPr>
      <t xml:space="preserve">sert à </t>
    </r>
    <r>
      <rPr>
        <b/>
        <sz val="10"/>
        <rFont val="Arial"/>
        <family val="2"/>
      </rPr>
      <t xml:space="preserve">produire </t>
    </r>
    <r>
      <rPr>
        <sz val="10"/>
        <rFont val="Arial"/>
        <family val="2"/>
      </rPr>
      <t xml:space="preserve">une </t>
    </r>
    <r>
      <rPr>
        <b/>
        <sz val="10"/>
        <rFont val="Arial"/>
        <family val="2"/>
      </rPr>
      <t xml:space="preserve">estimation </t>
    </r>
    <r>
      <rPr>
        <sz val="10"/>
        <rFont val="Arial"/>
        <family val="2"/>
      </rPr>
      <t xml:space="preserve">selon certaines hypothèses. Il </t>
    </r>
    <r>
      <rPr>
        <b/>
        <sz val="10"/>
        <rFont val="Arial"/>
        <family val="2"/>
      </rPr>
      <t xml:space="preserve">ne reflète pas le montant réel </t>
    </r>
    <r>
      <rPr>
        <sz val="10"/>
        <rFont val="Arial"/>
        <family val="2"/>
      </rPr>
      <t>de votre subvention de fonctionnement.</t>
    </r>
  </si>
  <si>
    <t>Par exemple, le calcul prend uniquement en compte les principaux paramètres sur un exercice financier complet de 12 mois.</t>
  </si>
  <si>
    <r>
      <t xml:space="preserve">Pour vous aider, vous pouvez consulter </t>
    </r>
    <r>
      <rPr>
        <b/>
        <sz val="10"/>
        <rFont val="Arial"/>
        <family val="2"/>
      </rPr>
      <t xml:space="preserve">la promesse de subvention </t>
    </r>
    <r>
      <rPr>
        <sz val="10"/>
        <rFont val="Arial"/>
        <family val="2"/>
      </rPr>
      <t>déposée dans votre dossier en ligne.</t>
    </r>
  </si>
  <si>
    <t>"Jours d'occupation" représente les</t>
  </si>
  <si>
    <t>Uniquement si vous avez l'information concernant votre promesse de subvention, sinon inscrivez 0.</t>
  </si>
  <si>
    <t>Facteur d'ajust. absences pour nouvelle GS</t>
  </si>
  <si>
    <t xml:space="preserve">Jours d'occupation annuels 18 à 47 mois </t>
  </si>
  <si>
    <t>Choisissez la période d'ouverture selon l'exercice financier sélectionné plus haut</t>
  </si>
  <si>
    <t>Allocations spécifiques</t>
  </si>
  <si>
    <t>Avez-vous un montant à indiquer dans la case suivante?</t>
  </si>
  <si>
    <r>
      <t xml:space="preserve">Est-ce que vous vous trouvez dans l'une des situations suivantes :
</t>
    </r>
    <r>
      <rPr>
        <sz val="10"/>
        <rFont val="Arial"/>
        <family val="2"/>
      </rPr>
      <t xml:space="preserve">  1- Garderie ouverte pendant l'exercice financier sélectionné 
  2- Garderie ouverte pendant l'exercice financier précédent 
  3- Nombre de places &gt; 20 % pendant l'exercice financier précédent
  4- Garderie autochtone</t>
    </r>
  </si>
  <si>
    <t>Jours d'occupation de tous les enfants admissibles à l'AISG</t>
  </si>
  <si>
    <t>Allocation pour une installation recevant des enfants issus d'un milieu défavorisé</t>
  </si>
  <si>
    <t>Allocation pour l'accueil d'enfants à temps partiel</t>
  </si>
  <si>
    <r>
      <rPr>
        <b/>
        <sz val="10"/>
        <rFont val="Arial"/>
        <family val="2"/>
      </rPr>
      <t>Rémunération horaire moyenne</t>
    </r>
    <r>
      <rPr>
        <sz val="10"/>
        <rFont val="Arial"/>
        <family val="2"/>
      </rPr>
      <t xml:space="preserve"> de la garderie
Requis uniquement si votre garderie n'en est pas à sa 1</t>
    </r>
    <r>
      <rPr>
        <vertAlign val="superscript"/>
        <sz val="10"/>
        <rFont val="Arial"/>
        <family val="2"/>
      </rPr>
      <t>re</t>
    </r>
    <r>
      <rPr>
        <sz val="10"/>
        <rFont val="Arial"/>
        <family val="2"/>
      </rPr>
      <t xml:space="preserve"> année d'ouverture</t>
    </r>
  </si>
  <si>
    <r>
      <rPr>
        <b/>
        <sz val="10"/>
        <rFont val="Arial"/>
        <family val="2"/>
      </rPr>
      <t xml:space="preserve">Taux </t>
    </r>
    <r>
      <rPr>
        <sz val="10"/>
        <rFont val="Arial"/>
        <family val="2"/>
      </rPr>
      <t>moyen d'</t>
    </r>
    <r>
      <rPr>
        <b/>
        <sz val="10"/>
        <rFont val="Arial"/>
        <family val="2"/>
      </rPr>
      <t>absence rémunérée</t>
    </r>
    <r>
      <rPr>
        <sz val="10"/>
        <rFont val="Arial"/>
        <family val="2"/>
      </rPr>
      <t xml:space="preserve"> du personnel éducateur
Requis uniquement si votre garderie n'en est pas à sa 1</t>
    </r>
    <r>
      <rPr>
        <vertAlign val="superscript"/>
        <sz val="10"/>
        <rFont val="Arial"/>
        <family val="2"/>
      </rPr>
      <t>re</t>
    </r>
    <r>
      <rPr>
        <sz val="10"/>
        <rFont val="Arial"/>
        <family val="2"/>
      </rPr>
      <t xml:space="preserve"> année d'ouverture</t>
    </r>
  </si>
  <si>
    <r>
      <rPr>
        <b/>
        <sz val="10"/>
        <rFont val="Arial"/>
        <family val="2"/>
      </rPr>
      <t xml:space="preserve">Taux </t>
    </r>
    <r>
      <rPr>
        <sz val="10"/>
        <rFont val="Arial"/>
        <family val="2"/>
      </rPr>
      <t xml:space="preserve">de </t>
    </r>
    <r>
      <rPr>
        <b/>
        <sz val="10"/>
        <rFont val="Arial"/>
        <family val="2"/>
      </rPr>
      <t xml:space="preserve">qualification </t>
    </r>
    <r>
      <rPr>
        <sz val="10"/>
        <rFont val="Arial"/>
        <family val="2"/>
      </rPr>
      <t>des éducatrices
Requis uniquement si votre garderie n'en est pas à sa 1</t>
    </r>
    <r>
      <rPr>
        <vertAlign val="superscript"/>
        <sz val="10"/>
        <rFont val="Arial"/>
        <family val="2"/>
      </rPr>
      <t>re</t>
    </r>
    <r>
      <rPr>
        <sz val="10"/>
        <rFont val="Arial"/>
        <family val="2"/>
      </rPr>
      <t xml:space="preserve"> année d'ouverture</t>
    </r>
  </si>
  <si>
    <r>
      <rPr>
        <b/>
        <sz val="10"/>
        <rFont val="Arial"/>
        <family val="2"/>
      </rPr>
      <t>Taux</t>
    </r>
    <r>
      <rPr>
        <sz val="10"/>
        <rFont val="Arial"/>
        <family val="2"/>
      </rPr>
      <t xml:space="preserve"> moyen des </t>
    </r>
    <r>
      <rPr>
        <b/>
        <sz val="10"/>
        <rFont val="Arial"/>
        <family val="2"/>
      </rPr>
      <t>heures travaillées</t>
    </r>
    <r>
      <rPr>
        <sz val="10"/>
        <rFont val="Arial"/>
        <family val="2"/>
      </rPr>
      <t xml:space="preserve"> par jour d'occupation pondéré
Requis uniquement si votre garderie n'en est pas à sa 1</t>
    </r>
    <r>
      <rPr>
        <vertAlign val="superscript"/>
        <sz val="10"/>
        <rFont val="Arial"/>
        <family val="2"/>
      </rPr>
      <t>re</t>
    </r>
    <r>
      <rPr>
        <sz val="10"/>
        <rFont val="Arial"/>
        <family val="2"/>
      </rPr>
      <t xml:space="preserve"> année d'ouverture</t>
    </r>
  </si>
  <si>
    <r>
      <t xml:space="preserve">Uniquement le </t>
    </r>
    <r>
      <rPr>
        <b/>
        <sz val="10"/>
        <rFont val="Arial"/>
        <family val="2"/>
      </rPr>
      <t>personnel éducateur</t>
    </r>
    <r>
      <rPr>
        <sz val="10"/>
        <rFont val="Arial"/>
        <family val="2"/>
      </rPr>
      <t xml:space="preserve"> composé 
des éducatrices qualifiées, des éducatrices non qualifiées, des aides-éducatrices et des éducatrices spécialisées.</t>
    </r>
  </si>
  <si>
    <t>Services auxiliaires</t>
  </si>
  <si>
    <r>
      <t>1</t>
    </r>
    <r>
      <rPr>
        <vertAlign val="superscript"/>
        <sz val="10"/>
        <rFont val="Arial"/>
        <family val="2"/>
      </rPr>
      <t>re</t>
    </r>
    <r>
      <rPr>
        <sz val="10"/>
        <rFont val="Arial"/>
        <family val="2"/>
      </rPr>
      <t xml:space="preserve"> année d'ouverture</t>
    </r>
  </si>
  <si>
    <t>Oui</t>
  </si>
  <si>
    <t>Non</t>
  </si>
  <si>
    <t>Principaux frais: loyer, énergie, assurances feu/vol, entretien, réparation, taxes, frais de financement et amortissement.</t>
  </si>
  <si>
    <t>mot Indiqué si occupé &gt; réservé</t>
  </si>
  <si>
    <t>Sera fait plus tard</t>
  </si>
  <si>
    <t>sera fait plus tard</t>
  </si>
  <si>
    <t>Par contre, vous devrez estimer vous-même les jours de présence annuels.</t>
  </si>
  <si>
    <t>Hypothèse, OK avec OB le 11 fév. 2025</t>
  </si>
  <si>
    <t>Taux de présence AISG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</si>
</sst>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7" formatCode="#,##0.00\ &quot;$&quot;_);\(#,##0.00\ &quot;$&quot;\)"/>
    <numFmt numFmtId="8" formatCode="#,##0.00\ &quot;$&quot;_);[Red]\(#,##0.00\ &quot;$&quot;\)"/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43" formatCode="_ * #,##0.00_)_ ;_ * \(#,##0.00\)_ ;_ * &quot;-&quot;??_)_ ;_ @_ "/>
    <numFmt numFmtId="164" formatCode="0.0%"/>
    <numFmt numFmtId="165" formatCode="_ * #,##0_)\ &quot;$&quot;_ ;_ * \(#,##0\)\ &quot;$&quot;_ ;_ * &quot;-&quot;??_)\ &quot;$&quot;_ ;_ @_ "/>
    <numFmt numFmtId="166" formatCode="_ * #,##0_)_ ;_ * \(#,##0\)_ ;_ * &quot;-&quot;??_)_ ;_ @_ "/>
    <numFmt numFmtId="167" formatCode="0.0000%"/>
    <numFmt numFmtId="168" formatCode="_ * #,##0.0000_)\ &quot;$&quot;_ ;_ * \(#,##0.0000\)\ &quot;$&quot;_ ;_ * &quot;-&quot;??_)\ &quot;$&quot;_ ;_ @_ "/>
    <numFmt numFmtId="169" formatCode="_ * #,##0.00_ \ [$$-C0C]_ ;_ * \-#,##0.00\ \ [$$-C0C]_ ;_ * &quot;-&quot;??_ \ [$$-C0C]_ ;_ @_ "/>
    <numFmt numFmtId="170" formatCode="0.0"/>
    <numFmt numFmtId="171" formatCode="#,##0.0\ _$"/>
    <numFmt numFmtId="172" formatCode="_ * #,##0.0000_)_ ;_ * \(#,##0.0000\)_ ;_ * &quot;-&quot;??_)_ ;_ @_ "/>
    <numFmt numFmtId="173" formatCode="_ * #,##0.0_)_ ;_ * \(#,##0.0\)_ ;_ * &quot;-&quot;??_)_ ;_ @_ "/>
    <numFmt numFmtId="174" formatCode="#,##0.00\ _$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MS Sans Serif"/>
      <family val="2"/>
    </font>
    <font>
      <b/>
      <sz val="12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b/>
      <u/>
      <sz val="18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24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color rgb="FFFF00FF"/>
      <name val="Arial"/>
      <family val="2"/>
    </font>
    <font>
      <sz val="9.5"/>
      <name val="Arial"/>
      <family val="2"/>
    </font>
    <font>
      <sz val="8"/>
      <name val="Arial"/>
      <family val="2"/>
    </font>
    <font>
      <b/>
      <sz val="9.5"/>
      <name val="Arial"/>
      <family val="2"/>
    </font>
    <font>
      <vertAlign val="superscript"/>
      <sz val="9.5"/>
      <name val="Arial"/>
      <family val="2"/>
    </font>
    <font>
      <b/>
      <u val="double"/>
      <sz val="10"/>
      <name val="Arial"/>
      <family val="2"/>
    </font>
    <font>
      <vertAlign val="superscript"/>
      <sz val="10"/>
      <name val="Arial"/>
      <family val="2"/>
    </font>
    <font>
      <b/>
      <u/>
      <sz val="16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vertAlign val="superscript"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4" fontId="3" fillId="0" borderId="0" applyFont="0" applyFill="0" applyBorder="0" applyAlignment="0" applyProtection="0"/>
    <xf numFmtId="0" fontId="5" fillId="0" borderId="0"/>
    <xf numFmtId="9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4">
    <xf numFmtId="0" fontId="0" fillId="0" borderId="0" xfId="0"/>
    <xf numFmtId="0" fontId="3" fillId="0" borderId="0" xfId="2" applyFont="1"/>
    <xf numFmtId="7" fontId="3" fillId="0" borderId="1" xfId="2" applyNumberFormat="1" applyFont="1" applyBorder="1"/>
    <xf numFmtId="0" fontId="3" fillId="0" borderId="1" xfId="2" applyFont="1" applyBorder="1"/>
    <xf numFmtId="44" fontId="3" fillId="0" borderId="1" xfId="2" applyNumberFormat="1" applyFont="1" applyBorder="1" applyAlignment="1">
      <alignment horizontal="right"/>
    </xf>
    <xf numFmtId="42" fontId="3" fillId="0" borderId="1" xfId="2" applyNumberFormat="1" applyFont="1" applyBorder="1"/>
    <xf numFmtId="42" fontId="3" fillId="0" borderId="1" xfId="7" applyNumberFormat="1" applyFont="1" applyBorder="1"/>
    <xf numFmtId="165" fontId="3" fillId="0" borderId="1" xfId="2" applyNumberFormat="1" applyFont="1" applyBorder="1" applyAlignment="1">
      <alignment horizontal="right"/>
    </xf>
    <xf numFmtId="0" fontId="4" fillId="0" borderId="0" xfId="0" applyFont="1"/>
    <xf numFmtId="0" fontId="3" fillId="0" borderId="0" xfId="0" applyFont="1"/>
    <xf numFmtId="165" fontId="4" fillId="0" borderId="1" xfId="2" applyNumberFormat="1" applyFont="1" applyBorder="1" applyAlignment="1">
      <alignment horizontal="right"/>
    </xf>
    <xf numFmtId="0" fontId="13" fillId="0" borderId="0" xfId="2" applyFont="1"/>
    <xf numFmtId="0" fontId="3" fillId="0" borderId="5" xfId="2" applyFont="1" applyBorder="1"/>
    <xf numFmtId="44" fontId="3" fillId="0" borderId="1" xfId="2" applyNumberFormat="1" applyFont="1" applyFill="1" applyBorder="1" applyAlignment="1">
      <alignment horizontal="right"/>
    </xf>
    <xf numFmtId="0" fontId="4" fillId="0" borderId="1" xfId="2" applyFont="1" applyBorder="1" applyAlignment="1">
      <alignment horizontal="left" indent="1"/>
    </xf>
    <xf numFmtId="0" fontId="4" fillId="0" borderId="1" xfId="2" applyFont="1" applyBorder="1"/>
    <xf numFmtId="0" fontId="3" fillId="0" borderId="1" xfId="2" applyFont="1" applyBorder="1" applyAlignment="1">
      <alignment horizontal="left" indent="1"/>
    </xf>
    <xf numFmtId="0" fontId="4" fillId="0" borderId="1" xfId="2" applyFont="1" applyFill="1" applyBorder="1" applyAlignment="1">
      <alignment horizontal="left" indent="1"/>
    </xf>
    <xf numFmtId="0" fontId="3" fillId="0" borderId="3" xfId="2" applyFont="1" applyBorder="1"/>
    <xf numFmtId="165" fontId="3" fillId="0" borderId="1" xfId="2" applyNumberFormat="1" applyFont="1" applyFill="1" applyBorder="1" applyAlignment="1">
      <alignment horizontal="right"/>
    </xf>
    <xf numFmtId="0" fontId="3" fillId="0" borderId="0" xfId="2" applyFont="1" applyBorder="1"/>
    <xf numFmtId="44" fontId="3" fillId="0" borderId="0" xfId="1" applyFont="1" applyFill="1"/>
    <xf numFmtId="0" fontId="4" fillId="0" borderId="0" xfId="2" applyFont="1"/>
    <xf numFmtId="0" fontId="4" fillId="0" borderId="0" xfId="9" applyFont="1"/>
    <xf numFmtId="42" fontId="3" fillId="0" borderId="4" xfId="2" applyNumberFormat="1" applyFont="1" applyBorder="1"/>
    <xf numFmtId="0" fontId="3" fillId="0" borderId="12" xfId="2" applyFont="1" applyBorder="1"/>
    <xf numFmtId="42" fontId="3" fillId="0" borderId="7" xfId="2" applyNumberFormat="1" applyFont="1" applyBorder="1"/>
    <xf numFmtId="0" fontId="4" fillId="0" borderId="0" xfId="2" applyFont="1" applyBorder="1" applyAlignment="1">
      <alignment horizontal="left" vertical="center"/>
    </xf>
    <xf numFmtId="0" fontId="4" fillId="0" borderId="1" xfId="2" applyFont="1" applyBorder="1" applyAlignment="1"/>
    <xf numFmtId="0" fontId="4" fillId="0" borderId="0" xfId="2" applyFont="1" applyBorder="1" applyAlignment="1"/>
    <xf numFmtId="10" fontId="3" fillId="0" borderId="1" xfId="3" applyNumberFormat="1" applyFont="1" applyFill="1" applyBorder="1" applyAlignment="1">
      <alignment horizontal="right"/>
    </xf>
    <xf numFmtId="8" fontId="4" fillId="0" borderId="0" xfId="9" quotePrefix="1" applyNumberFormat="1" applyFont="1" applyAlignment="1">
      <alignment horizontal="center" wrapText="1"/>
    </xf>
    <xf numFmtId="9" fontId="4" fillId="0" borderId="0" xfId="9" applyNumberFormat="1" applyFont="1"/>
    <xf numFmtId="8" fontId="4" fillId="0" borderId="0" xfId="9" quotePrefix="1" applyNumberFormat="1" applyFont="1" applyBorder="1" applyAlignment="1">
      <alignment horizontal="center" wrapText="1"/>
    </xf>
    <xf numFmtId="0" fontId="4" fillId="0" borderId="0" xfId="9" applyFont="1" applyBorder="1"/>
    <xf numFmtId="10" fontId="3" fillId="5" borderId="0" xfId="3" applyNumberFormat="1" applyFont="1" applyFill="1"/>
    <xf numFmtId="0" fontId="4" fillId="0" borderId="0" xfId="2" applyFont="1" applyFill="1" applyBorder="1"/>
    <xf numFmtId="0" fontId="3" fillId="0" borderId="1" xfId="2" applyFont="1" applyFill="1" applyBorder="1" applyAlignment="1">
      <alignment horizontal="left" indent="1"/>
    </xf>
    <xf numFmtId="0" fontId="4" fillId="0" borderId="9" xfId="9" applyFont="1" applyBorder="1"/>
    <xf numFmtId="165" fontId="4" fillId="0" borderId="1" xfId="2" applyNumberFormat="1" applyFont="1" applyFill="1" applyBorder="1" applyAlignment="1">
      <alignment horizontal="right"/>
    </xf>
    <xf numFmtId="0" fontId="4" fillId="0" borderId="0" xfId="9" applyFont="1" applyFill="1"/>
    <xf numFmtId="0" fontId="4" fillId="0" borderId="0" xfId="9" applyFont="1" applyFill="1" applyBorder="1"/>
    <xf numFmtId="0" fontId="3" fillId="5" borderId="0" xfId="9" applyFont="1" applyFill="1"/>
    <xf numFmtId="0" fontId="3" fillId="5" borderId="0" xfId="9" applyFont="1" applyFill="1" applyBorder="1"/>
    <xf numFmtId="0" fontId="3" fillId="0" borderId="0" xfId="9" applyFont="1" applyFill="1"/>
    <xf numFmtId="0" fontId="3" fillId="0" borderId="0" xfId="9" applyFont="1" applyFill="1" applyBorder="1"/>
    <xf numFmtId="43" fontId="3" fillId="0" borderId="2" xfId="8" applyFont="1" applyBorder="1"/>
    <xf numFmtId="0" fontId="4" fillId="0" borderId="1" xfId="2" applyFont="1" applyBorder="1" applyAlignment="1">
      <alignment horizontal="left" indent="4"/>
    </xf>
    <xf numFmtId="0" fontId="3" fillId="0" borderId="1" xfId="2" applyFont="1" applyBorder="1" applyAlignment="1">
      <alignment horizontal="left"/>
    </xf>
    <xf numFmtId="0" fontId="3" fillId="0" borderId="1" xfId="2" applyFont="1" applyBorder="1" applyAlignment="1">
      <alignment horizontal="left" indent="3"/>
    </xf>
    <xf numFmtId="0" fontId="3" fillId="0" borderId="1" xfId="2" applyFont="1" applyBorder="1" applyAlignment="1"/>
    <xf numFmtId="0" fontId="3" fillId="0" borderId="1" xfId="2" applyFont="1" applyFill="1" applyBorder="1" applyAlignment="1"/>
    <xf numFmtId="44" fontId="3" fillId="0" borderId="0" xfId="1" applyFont="1" applyFill="1" applyBorder="1"/>
    <xf numFmtId="165" fontId="4" fillId="3" borderId="15" xfId="2" applyNumberFormat="1" applyFont="1" applyFill="1" applyBorder="1" applyAlignment="1">
      <alignment horizontal="right"/>
    </xf>
    <xf numFmtId="0" fontId="16" fillId="0" borderId="1" xfId="2" applyFont="1" applyFill="1" applyBorder="1"/>
    <xf numFmtId="0" fontId="16" fillId="0" borderId="0" xfId="2" applyFont="1" applyFill="1" applyBorder="1"/>
    <xf numFmtId="0" fontId="4" fillId="3" borderId="14" xfId="9" applyFont="1" applyFill="1" applyBorder="1"/>
    <xf numFmtId="44" fontId="3" fillId="3" borderId="14" xfId="1" applyFont="1" applyFill="1" applyBorder="1"/>
    <xf numFmtId="165" fontId="4" fillId="3" borderId="15" xfId="1" applyNumberFormat="1" applyFont="1" applyFill="1" applyBorder="1" applyAlignment="1">
      <alignment horizontal="right"/>
    </xf>
    <xf numFmtId="0" fontId="4" fillId="3" borderId="14" xfId="9" applyFont="1" applyFill="1" applyBorder="1" applyAlignment="1">
      <alignment wrapText="1"/>
    </xf>
    <xf numFmtId="42" fontId="4" fillId="3" borderId="15" xfId="2" applyNumberFormat="1" applyFont="1" applyFill="1" applyBorder="1"/>
    <xf numFmtId="0" fontId="18" fillId="0" borderId="1" xfId="2" applyFont="1" applyBorder="1" applyAlignment="1">
      <alignment wrapText="1"/>
    </xf>
    <xf numFmtId="42" fontId="7" fillId="0" borderId="5" xfId="2" applyNumberFormat="1" applyFont="1" applyBorder="1"/>
    <xf numFmtId="0" fontId="3" fillId="0" borderId="0" xfId="9" applyFont="1" applyBorder="1"/>
    <xf numFmtId="0" fontId="4" fillId="0" borderId="5" xfId="2" applyFont="1" applyBorder="1" applyAlignment="1">
      <alignment horizontal="left" indent="1"/>
    </xf>
    <xf numFmtId="166" fontId="3" fillId="0" borderId="1" xfId="8" applyNumberFormat="1" applyFont="1" applyFill="1" applyBorder="1"/>
    <xf numFmtId="166" fontId="3" fillId="0" borderId="2" xfId="8" applyNumberFormat="1" applyFont="1" applyFill="1" applyBorder="1"/>
    <xf numFmtId="9" fontId="3" fillId="0" borderId="0" xfId="3" applyFont="1" applyFill="1"/>
    <xf numFmtId="0" fontId="4" fillId="0" borderId="3" xfId="2" applyFont="1" applyBorder="1" applyAlignment="1">
      <alignment horizontal="left" indent="1"/>
    </xf>
    <xf numFmtId="0" fontId="3" fillId="0" borderId="0" xfId="2" applyFont="1" applyBorder="1" applyAlignment="1"/>
    <xf numFmtId="44" fontId="3" fillId="5" borderId="0" xfId="1" applyFont="1" applyFill="1" applyBorder="1"/>
    <xf numFmtId="0" fontId="3" fillId="0" borderId="0" xfId="9" applyFont="1" applyFill="1" applyAlignment="1"/>
    <xf numFmtId="0" fontId="19" fillId="0" borderId="1" xfId="2" applyFont="1" applyFill="1" applyBorder="1" applyAlignment="1">
      <alignment wrapText="1"/>
    </xf>
    <xf numFmtId="9" fontId="4" fillId="0" borderId="0" xfId="3" applyFont="1" applyFill="1"/>
    <xf numFmtId="0" fontId="4" fillId="0" borderId="1" xfId="2" applyFont="1" applyFill="1" applyBorder="1"/>
    <xf numFmtId="0" fontId="3" fillId="0" borderId="0" xfId="9" applyFont="1"/>
    <xf numFmtId="0" fontId="3" fillId="0" borderId="30" xfId="2" applyFont="1" applyBorder="1"/>
    <xf numFmtId="0" fontId="4" fillId="0" borderId="26" xfId="9" applyFont="1" applyBorder="1"/>
    <xf numFmtId="0" fontId="4" fillId="0" borderId="0" xfId="2" applyFont="1" applyAlignment="1">
      <alignment horizontal="left" indent="1"/>
    </xf>
    <xf numFmtId="165" fontId="4" fillId="0" borderId="1" xfId="1" applyNumberFormat="1" applyFont="1" applyFill="1" applyBorder="1" applyAlignment="1">
      <alignment horizontal="right"/>
    </xf>
    <xf numFmtId="0" fontId="4" fillId="0" borderId="1" xfId="2" applyFont="1" applyBorder="1" applyAlignment="1">
      <alignment horizontal="left"/>
    </xf>
    <xf numFmtId="0" fontId="19" fillId="6" borderId="17" xfId="0" applyFont="1" applyFill="1" applyBorder="1" applyAlignment="1">
      <alignment wrapText="1"/>
    </xf>
    <xf numFmtId="169" fontId="6" fillId="6" borderId="19" xfId="0" applyNumberFormat="1" applyFont="1" applyFill="1" applyBorder="1" applyAlignment="1">
      <alignment horizontal="center" vertical="center" indent="1"/>
    </xf>
    <xf numFmtId="0" fontId="23" fillId="6" borderId="17" xfId="0" applyFont="1" applyFill="1" applyBorder="1"/>
    <xf numFmtId="0" fontId="21" fillId="6" borderId="17" xfId="0" applyFont="1" applyFill="1" applyBorder="1"/>
    <xf numFmtId="0" fontId="21" fillId="6" borderId="17" xfId="0" applyFont="1" applyFill="1" applyBorder="1" applyAlignment="1">
      <alignment wrapText="1"/>
    </xf>
    <xf numFmtId="0" fontId="23" fillId="6" borderId="17" xfId="0" applyFont="1" applyFill="1" applyBorder="1" applyAlignment="1">
      <alignment wrapText="1"/>
    </xf>
    <xf numFmtId="0" fontId="14" fillId="6" borderId="27" xfId="0" applyFont="1" applyFill="1" applyBorder="1"/>
    <xf numFmtId="0" fontId="21" fillId="0" borderId="17" xfId="0" applyFont="1" applyBorder="1"/>
    <xf numFmtId="169" fontId="6" fillId="6" borderId="22" xfId="0" applyNumberFormat="1" applyFont="1" applyFill="1" applyBorder="1" applyAlignment="1">
      <alignment horizontal="center" vertical="center" indent="1"/>
    </xf>
    <xf numFmtId="0" fontId="19" fillId="6" borderId="20" xfId="0" applyFont="1" applyFill="1" applyBorder="1" applyAlignment="1">
      <alignment wrapText="1"/>
    </xf>
    <xf numFmtId="0" fontId="21" fillId="6" borderId="28" xfId="0" applyFont="1" applyFill="1" applyBorder="1"/>
    <xf numFmtId="0" fontId="23" fillId="7" borderId="17" xfId="0" applyFont="1" applyFill="1" applyBorder="1" applyAlignment="1">
      <alignment wrapText="1"/>
    </xf>
    <xf numFmtId="0" fontId="21" fillId="7" borderId="28" xfId="0" applyFont="1" applyFill="1" applyBorder="1" applyAlignment="1">
      <alignment horizontal="center" vertical="center"/>
    </xf>
    <xf numFmtId="0" fontId="23" fillId="6" borderId="27" xfId="0" applyFont="1" applyFill="1" applyBorder="1"/>
    <xf numFmtId="0" fontId="23" fillId="7" borderId="28" xfId="0" applyFont="1" applyFill="1" applyBorder="1"/>
    <xf numFmtId="0" fontId="21" fillId="7" borderId="23" xfId="0" applyFont="1" applyFill="1" applyBorder="1" applyAlignment="1">
      <alignment horizontal="center" vertical="center"/>
    </xf>
    <xf numFmtId="169" fontId="21" fillId="7" borderId="16" xfId="0" applyNumberFormat="1" applyFont="1" applyFill="1" applyBorder="1" applyAlignment="1">
      <alignment horizontal="center" vertical="center" indent="1"/>
    </xf>
    <xf numFmtId="0" fontId="23" fillId="7" borderId="17" xfId="0" applyFont="1" applyFill="1" applyBorder="1"/>
    <xf numFmtId="44" fontId="21" fillId="7" borderId="28" xfId="1" applyFont="1" applyFill="1" applyBorder="1" applyAlignment="1">
      <alignment horizontal="center" vertical="center"/>
    </xf>
    <xf numFmtId="0" fontId="21" fillId="7" borderId="24" xfId="0" applyFont="1" applyFill="1" applyBorder="1" applyAlignment="1">
      <alignment horizontal="center" vertical="center"/>
    </xf>
    <xf numFmtId="169" fontId="21" fillId="3" borderId="16" xfId="0" applyNumberFormat="1" applyFont="1" applyFill="1" applyBorder="1" applyAlignment="1">
      <alignment horizontal="center" vertical="center" indent="1"/>
    </xf>
    <xf numFmtId="0" fontId="3" fillId="0" borderId="28" xfId="2" applyFont="1" applyBorder="1"/>
    <xf numFmtId="0" fontId="3" fillId="0" borderId="28" xfId="0" applyFont="1" applyBorder="1"/>
    <xf numFmtId="0" fontId="3" fillId="0" borderId="28" xfId="0" applyFont="1" applyBorder="1" applyAlignment="1">
      <alignment horizontal="center" vertical="center"/>
    </xf>
    <xf numFmtId="43" fontId="3" fillId="0" borderId="28" xfId="8" applyFont="1" applyBorder="1" applyAlignment="1">
      <alignment horizontal="center" vertical="center" indent="1"/>
    </xf>
    <xf numFmtId="169" fontId="3" fillId="0" borderId="28" xfId="0" applyNumberFormat="1" applyFont="1" applyBorder="1" applyAlignment="1">
      <alignment horizontal="center" vertical="center" indent="1"/>
    </xf>
    <xf numFmtId="0" fontId="3" fillId="0" borderId="28" xfId="0" applyFont="1" applyFill="1" applyBorder="1"/>
    <xf numFmtId="44" fontId="3" fillId="0" borderId="28" xfId="0" applyNumberFormat="1" applyFont="1" applyBorder="1" applyAlignment="1">
      <alignment horizontal="center" vertical="center"/>
    </xf>
    <xf numFmtId="0" fontId="10" fillId="0" borderId="1" xfId="2" applyFont="1" applyFill="1" applyBorder="1"/>
    <xf numFmtId="0" fontId="10" fillId="0" borderId="28" xfId="0" applyFont="1" applyBorder="1"/>
    <xf numFmtId="8" fontId="3" fillId="0" borderId="16" xfId="9" quotePrefix="1" applyNumberFormat="1" applyFont="1" applyBorder="1" applyAlignment="1">
      <alignment wrapText="1"/>
    </xf>
    <xf numFmtId="44" fontId="3" fillId="0" borderId="28" xfId="0" applyNumberFormat="1" applyFont="1" applyBorder="1" applyAlignment="1">
      <alignment horizontal="center" vertical="center" indent="1"/>
    </xf>
    <xf numFmtId="0" fontId="3" fillId="0" borderId="28" xfId="0" applyFont="1" applyBorder="1" applyAlignment="1">
      <alignment horizontal="right" vertical="center"/>
    </xf>
    <xf numFmtId="10" fontId="3" fillId="0" borderId="28" xfId="0" applyNumberFormat="1" applyFont="1" applyBorder="1" applyAlignment="1">
      <alignment horizontal="right" vertical="center"/>
    </xf>
    <xf numFmtId="10" fontId="3" fillId="0" borderId="28" xfId="3" applyNumberFormat="1" applyFont="1" applyBorder="1" applyAlignment="1">
      <alignment horizontal="right" vertical="center"/>
    </xf>
    <xf numFmtId="44" fontId="3" fillId="0" borderId="28" xfId="1" applyFont="1" applyBorder="1" applyAlignment="1">
      <alignment horizontal="center" vertical="center"/>
    </xf>
    <xf numFmtId="9" fontId="3" fillId="0" borderId="28" xfId="3" applyFont="1" applyBorder="1" applyAlignment="1">
      <alignment horizontal="right" vertical="center"/>
    </xf>
    <xf numFmtId="2" fontId="3" fillId="0" borderId="28" xfId="0" applyNumberFormat="1" applyFont="1" applyBorder="1" applyAlignment="1">
      <alignment horizontal="right" vertical="center"/>
    </xf>
    <xf numFmtId="0" fontId="16" fillId="0" borderId="28" xfId="0" applyFont="1" applyBorder="1" applyAlignment="1">
      <alignment vertical="center"/>
    </xf>
    <xf numFmtId="0" fontId="16" fillId="0" borderId="28" xfId="0" applyFont="1" applyBorder="1"/>
    <xf numFmtId="0" fontId="3" fillId="0" borderId="28" xfId="0" applyFont="1" applyBorder="1" applyAlignment="1">
      <alignment horizontal="center"/>
    </xf>
    <xf numFmtId="44" fontId="3" fillId="0" borderId="28" xfId="0" applyNumberFormat="1" applyFont="1" applyBorder="1" applyAlignment="1">
      <alignment horizontal="center"/>
    </xf>
    <xf numFmtId="0" fontId="4" fillId="0" borderId="1" xfId="2" applyFont="1" applyFill="1" applyBorder="1" applyAlignment="1">
      <alignment horizontal="left"/>
    </xf>
    <xf numFmtId="0" fontId="4" fillId="0" borderId="28" xfId="0" applyFont="1" applyBorder="1"/>
    <xf numFmtId="0" fontId="4" fillId="3" borderId="28" xfId="0" applyFont="1" applyFill="1" applyBorder="1" applyAlignment="1">
      <alignment horizontal="left" vertical="center"/>
    </xf>
    <xf numFmtId="0" fontId="4" fillId="3" borderId="16" xfId="0" applyFont="1" applyFill="1" applyBorder="1" applyAlignment="1">
      <alignment vertical="center"/>
    </xf>
    <xf numFmtId="169" fontId="6" fillId="3" borderId="28" xfId="0" applyNumberFormat="1" applyFont="1" applyFill="1" applyBorder="1" applyAlignment="1">
      <alignment horizontal="center" vertical="center" indent="1"/>
    </xf>
    <xf numFmtId="0" fontId="23" fillId="3" borderId="28" xfId="0" applyFont="1" applyFill="1" applyBorder="1" applyAlignment="1">
      <alignment vertical="center"/>
    </xf>
    <xf numFmtId="0" fontId="3" fillId="3" borderId="28" xfId="0" applyFont="1" applyFill="1" applyBorder="1" applyAlignment="1">
      <alignment horizontal="center" vertical="center"/>
    </xf>
    <xf numFmtId="169" fontId="3" fillId="3" borderId="28" xfId="0" applyNumberFormat="1" applyFont="1" applyFill="1" applyBorder="1" applyAlignment="1">
      <alignment horizontal="center" vertical="center" indent="1"/>
    </xf>
    <xf numFmtId="0" fontId="4" fillId="3" borderId="25" xfId="0" applyFont="1" applyFill="1" applyBorder="1" applyAlignment="1">
      <alignment vertical="center"/>
    </xf>
    <xf numFmtId="169" fontId="6" fillId="7" borderId="22" xfId="0" applyNumberFormat="1" applyFont="1" applyFill="1" applyBorder="1" applyAlignment="1">
      <alignment horizontal="center" vertical="center" indent="1"/>
    </xf>
    <xf numFmtId="169" fontId="6" fillId="7" borderId="21" xfId="0" applyNumberFormat="1" applyFont="1" applyFill="1" applyBorder="1" applyAlignment="1">
      <alignment horizontal="center" vertical="center" indent="1"/>
    </xf>
    <xf numFmtId="0" fontId="4" fillId="3" borderId="28" xfId="0" applyFont="1" applyFill="1" applyBorder="1" applyAlignment="1">
      <alignment vertical="center"/>
    </xf>
    <xf numFmtId="0" fontId="3" fillId="0" borderId="1" xfId="2" applyFont="1" applyFill="1" applyBorder="1"/>
    <xf numFmtId="44" fontId="21" fillId="6" borderId="16" xfId="1" applyFont="1" applyFill="1" applyBorder="1" applyAlignment="1">
      <alignment horizontal="center" vertical="center"/>
    </xf>
    <xf numFmtId="10" fontId="3" fillId="0" borderId="1" xfId="7" applyNumberFormat="1" applyFont="1" applyFill="1" applyBorder="1"/>
    <xf numFmtId="10" fontId="3" fillId="0" borderId="3" xfId="7" applyNumberFormat="1" applyFont="1" applyFill="1" applyBorder="1"/>
    <xf numFmtId="168" fontId="3" fillId="0" borderId="1" xfId="1" applyNumberFormat="1" applyFont="1" applyBorder="1" applyAlignment="1">
      <alignment horizontal="right"/>
    </xf>
    <xf numFmtId="0" fontId="3" fillId="0" borderId="0" xfId="2" applyFont="1" applyAlignment="1">
      <alignment horizontal="left"/>
    </xf>
    <xf numFmtId="171" fontId="4" fillId="0" borderId="1" xfId="2" applyNumberFormat="1" applyFont="1" applyBorder="1" applyAlignment="1">
      <alignment horizontal="right"/>
    </xf>
    <xf numFmtId="44" fontId="3" fillId="0" borderId="0" xfId="2" applyNumberFormat="1" applyFont="1" applyBorder="1" applyAlignment="1">
      <alignment horizontal="right"/>
    </xf>
    <xf numFmtId="0" fontId="3" fillId="3" borderId="28" xfId="0" applyFont="1" applyFill="1" applyBorder="1"/>
    <xf numFmtId="44" fontId="3" fillId="0" borderId="28" xfId="0" applyNumberFormat="1" applyFont="1" applyBorder="1"/>
    <xf numFmtId="44" fontId="3" fillId="3" borderId="28" xfId="0" applyNumberFormat="1" applyFont="1" applyFill="1" applyBorder="1"/>
    <xf numFmtId="44" fontId="3" fillId="0" borderId="28" xfId="1" applyFont="1" applyBorder="1"/>
    <xf numFmtId="10" fontId="3" fillId="0" borderId="28" xfId="3" applyNumberFormat="1" applyFont="1" applyBorder="1"/>
    <xf numFmtId="9" fontId="3" fillId="0" borderId="28" xfId="3" applyFont="1" applyBorder="1"/>
    <xf numFmtId="9" fontId="3" fillId="0" borderId="16" xfId="3" applyFont="1" applyBorder="1"/>
    <xf numFmtId="0" fontId="3" fillId="0" borderId="0" xfId="0" applyFont="1" applyBorder="1"/>
    <xf numFmtId="0" fontId="3" fillId="0" borderId="28" xfId="0" applyFont="1" applyBorder="1" applyAlignment="1">
      <alignment horizontal="right"/>
    </xf>
    <xf numFmtId="0" fontId="3" fillId="0" borderId="0" xfId="0" applyFont="1" applyFill="1" applyAlignment="1">
      <alignment wrapText="1"/>
    </xf>
    <xf numFmtId="0" fontId="3" fillId="0" borderId="0" xfId="0" applyFont="1" applyFill="1"/>
    <xf numFmtId="0" fontId="21" fillId="0" borderId="17" xfId="0" applyFont="1" applyFill="1" applyBorder="1"/>
    <xf numFmtId="0" fontId="23" fillId="0" borderId="17" xfId="0" applyFont="1" applyFill="1" applyBorder="1"/>
    <xf numFmtId="0" fontId="3" fillId="8" borderId="0" xfId="0" applyFont="1" applyFill="1"/>
    <xf numFmtId="44" fontId="3" fillId="8" borderId="0" xfId="1" applyFont="1" applyFill="1"/>
    <xf numFmtId="44" fontId="21" fillId="9" borderId="28" xfId="1" applyFont="1" applyFill="1" applyBorder="1" applyAlignment="1">
      <alignment horizontal="center" vertical="center"/>
    </xf>
    <xf numFmtId="44" fontId="3" fillId="8" borderId="28" xfId="0" applyNumberFormat="1" applyFont="1" applyFill="1" applyBorder="1"/>
    <xf numFmtId="169" fontId="21" fillId="9" borderId="28" xfId="0" applyNumberFormat="1" applyFont="1" applyFill="1" applyBorder="1" applyAlignment="1">
      <alignment horizontal="center" vertical="center" indent="1"/>
    </xf>
    <xf numFmtId="0" fontId="21" fillId="9" borderId="28" xfId="0" applyFont="1" applyFill="1" applyBorder="1" applyAlignment="1">
      <alignment horizontal="center" vertical="center"/>
    </xf>
    <xf numFmtId="44" fontId="21" fillId="9" borderId="28" xfId="0" applyNumberFormat="1" applyFont="1" applyFill="1" applyBorder="1" applyAlignment="1">
      <alignment horizontal="center" vertical="center"/>
    </xf>
    <xf numFmtId="165" fontId="21" fillId="9" borderId="28" xfId="0" applyNumberFormat="1" applyFont="1" applyFill="1" applyBorder="1" applyAlignment="1">
      <alignment horizontal="center" vertical="center"/>
    </xf>
    <xf numFmtId="0" fontId="3" fillId="8" borderId="28" xfId="0" applyFont="1" applyFill="1" applyBorder="1"/>
    <xf numFmtId="0" fontId="3" fillId="8" borderId="32" xfId="0" applyFont="1" applyFill="1" applyBorder="1"/>
    <xf numFmtId="0" fontId="21" fillId="9" borderId="32" xfId="0" applyFont="1" applyFill="1" applyBorder="1" applyAlignment="1">
      <alignment horizontal="center" vertical="center"/>
    </xf>
    <xf numFmtId="44" fontId="3" fillId="8" borderId="28" xfId="8" applyNumberFormat="1" applyFont="1" applyFill="1" applyBorder="1"/>
    <xf numFmtId="44" fontId="21" fillId="8" borderId="28" xfId="1" applyFont="1" applyFill="1" applyBorder="1" applyAlignment="1">
      <alignment horizontal="center" vertical="center"/>
    </xf>
    <xf numFmtId="44" fontId="3" fillId="8" borderId="32" xfId="0" applyNumberFormat="1" applyFont="1" applyFill="1" applyBorder="1"/>
    <xf numFmtId="44" fontId="21" fillId="8" borderId="32" xfId="1" applyFont="1" applyFill="1" applyBorder="1" applyAlignment="1">
      <alignment horizontal="center" vertical="center"/>
    </xf>
    <xf numFmtId="0" fontId="25" fillId="0" borderId="0" xfId="0" applyFont="1" applyFill="1"/>
    <xf numFmtId="0" fontId="4" fillId="0" borderId="0" xfId="2" applyFont="1" applyFill="1" applyBorder="1" applyAlignment="1">
      <alignment horizontal="center"/>
    </xf>
    <xf numFmtId="0" fontId="3" fillId="0" borderId="0" xfId="9" applyFont="1" applyAlignment="1">
      <alignment vertical="center"/>
    </xf>
    <xf numFmtId="0" fontId="3" fillId="0" borderId="7" xfId="9" applyFont="1" applyBorder="1"/>
    <xf numFmtId="0" fontId="3" fillId="0" borderId="0" xfId="9" applyFont="1" applyFill="1" applyBorder="1" applyAlignment="1">
      <alignment horizontal="center" wrapText="1"/>
    </xf>
    <xf numFmtId="0" fontId="3" fillId="0" borderId="0" xfId="9" applyFont="1" applyBorder="1" applyAlignment="1">
      <alignment wrapText="1"/>
    </xf>
    <xf numFmtId="0" fontId="3" fillId="0" borderId="26" xfId="9" applyFont="1" applyBorder="1"/>
    <xf numFmtId="170" fontId="3" fillId="4" borderId="0" xfId="9" applyNumberFormat="1" applyFont="1" applyFill="1" applyBorder="1"/>
    <xf numFmtId="170" fontId="3" fillId="5" borderId="0" xfId="9" applyNumberFormat="1" applyFont="1" applyFill="1" applyBorder="1"/>
    <xf numFmtId="0" fontId="3" fillId="0" borderId="8" xfId="9" applyFont="1" applyBorder="1"/>
    <xf numFmtId="0" fontId="3" fillId="0" borderId="8" xfId="9" applyFont="1" applyFill="1" applyBorder="1" applyAlignment="1">
      <alignment horizontal="left" wrapText="1"/>
    </xf>
    <xf numFmtId="0" fontId="3" fillId="0" borderId="0" xfId="9" applyFont="1" applyFill="1" applyAlignment="1">
      <alignment horizontal="left" wrapText="1"/>
    </xf>
    <xf numFmtId="0" fontId="3" fillId="0" borderId="0" xfId="9" applyFont="1" applyFill="1" applyBorder="1" applyAlignment="1">
      <alignment horizontal="left" wrapText="1"/>
    </xf>
    <xf numFmtId="0" fontId="3" fillId="4" borderId="0" xfId="9" quotePrefix="1" applyFont="1" applyFill="1" applyBorder="1"/>
    <xf numFmtId="0" fontId="3" fillId="3" borderId="14" xfId="9" applyFont="1" applyFill="1" applyBorder="1"/>
    <xf numFmtId="44" fontId="3" fillId="4" borderId="0" xfId="1" quotePrefix="1" applyFont="1" applyFill="1" applyBorder="1"/>
    <xf numFmtId="10" fontId="3" fillId="5" borderId="0" xfId="3" applyNumberFormat="1" applyFont="1" applyFill="1" applyBorder="1"/>
    <xf numFmtId="8" fontId="3" fillId="0" borderId="0" xfId="9" quotePrefix="1" applyNumberFormat="1" applyFont="1" applyFill="1" applyBorder="1" applyAlignment="1">
      <alignment horizontal="left"/>
    </xf>
    <xf numFmtId="8" fontId="4" fillId="0" borderId="0" xfId="9" quotePrefix="1" applyNumberFormat="1" applyFont="1" applyFill="1" applyAlignment="1">
      <alignment horizontal="left"/>
    </xf>
    <xf numFmtId="9" fontId="3" fillId="5" borderId="0" xfId="9" applyNumberFormat="1" applyFont="1" applyFill="1" applyAlignment="1">
      <alignment horizontal="right"/>
    </xf>
    <xf numFmtId="9" fontId="3" fillId="5" borderId="0" xfId="3" applyFont="1" applyFill="1" applyBorder="1" applyAlignment="1">
      <alignment horizontal="right"/>
    </xf>
    <xf numFmtId="10" fontId="3" fillId="5" borderId="0" xfId="9" quotePrefix="1" applyNumberFormat="1" applyFont="1" applyFill="1" applyAlignment="1">
      <alignment wrapText="1"/>
    </xf>
    <xf numFmtId="8" fontId="3" fillId="0" borderId="0" xfId="9" quotePrefix="1" applyNumberFormat="1" applyFont="1" applyBorder="1" applyAlignment="1">
      <alignment wrapText="1"/>
    </xf>
    <xf numFmtId="8" fontId="3" fillId="0" borderId="0" xfId="9" quotePrefix="1" applyNumberFormat="1" applyFont="1" applyAlignment="1">
      <alignment horizontal="center" wrapText="1"/>
    </xf>
    <xf numFmtId="8" fontId="3" fillId="0" borderId="0" xfId="9" quotePrefix="1" applyNumberFormat="1" applyFont="1" applyBorder="1" applyAlignment="1">
      <alignment horizontal="center" wrapText="1"/>
    </xf>
    <xf numFmtId="167" fontId="3" fillId="0" borderId="1" xfId="3" applyNumberFormat="1" applyFont="1" applyBorder="1" applyAlignment="1">
      <alignment horizontal="right"/>
    </xf>
    <xf numFmtId="10" fontId="3" fillId="5" borderId="0" xfId="9" applyNumberFormat="1" applyFont="1" applyFill="1" applyBorder="1"/>
    <xf numFmtId="9" fontId="3" fillId="5" borderId="0" xfId="3" applyFont="1" applyFill="1" applyBorder="1"/>
    <xf numFmtId="9" fontId="3" fillId="0" borderId="0" xfId="3" applyFont="1" applyFill="1" applyBorder="1"/>
    <xf numFmtId="168" fontId="3" fillId="0" borderId="1" xfId="2" applyNumberFormat="1" applyFont="1" applyBorder="1" applyAlignment="1">
      <alignment horizontal="right"/>
    </xf>
    <xf numFmtId="0" fontId="3" fillId="4" borderId="0" xfId="9" applyFont="1" applyFill="1" applyBorder="1"/>
    <xf numFmtId="44" fontId="3" fillId="5" borderId="0" xfId="9" applyNumberFormat="1" applyFont="1" applyFill="1"/>
    <xf numFmtId="44" fontId="3" fillId="5" borderId="9" xfId="1" applyNumberFormat="1" applyFont="1" applyFill="1" applyBorder="1"/>
    <xf numFmtId="0" fontId="3" fillId="0" borderId="11" xfId="9" applyFont="1" applyBorder="1"/>
    <xf numFmtId="44" fontId="3" fillId="5" borderId="0" xfId="1" applyFont="1" applyFill="1" applyAlignment="1">
      <alignment wrapText="1"/>
    </xf>
    <xf numFmtId="44" fontId="3" fillId="5" borderId="0" xfId="1" applyFont="1" applyFill="1" applyBorder="1" applyAlignment="1">
      <alignment wrapText="1"/>
    </xf>
    <xf numFmtId="9" fontId="3" fillId="5" borderId="0" xfId="3" applyNumberFormat="1" applyFont="1" applyFill="1" applyBorder="1"/>
    <xf numFmtId="164" fontId="3" fillId="0" borderId="0" xfId="3" applyNumberFormat="1" applyFont="1" applyFill="1" applyBorder="1"/>
    <xf numFmtId="0" fontId="3" fillId="0" borderId="7" xfId="9" applyFont="1" applyFill="1" applyBorder="1" applyAlignment="1">
      <alignment horizontal="left"/>
    </xf>
    <xf numFmtId="0" fontId="3" fillId="0" borderId="0" xfId="9" applyFont="1" applyFill="1" applyBorder="1" applyAlignment="1">
      <alignment horizontal="left"/>
    </xf>
    <xf numFmtId="0" fontId="15" fillId="0" borderId="0" xfId="2" applyFont="1" applyFill="1" applyBorder="1" applyAlignment="1">
      <alignment horizontal="left"/>
    </xf>
    <xf numFmtId="0" fontId="4" fillId="3" borderId="1" xfId="2" applyFont="1" applyFill="1" applyBorder="1"/>
    <xf numFmtId="8" fontId="3" fillId="0" borderId="0" xfId="9" quotePrefix="1" applyNumberFormat="1" applyFont="1" applyFill="1" applyAlignment="1">
      <alignment horizontal="left" vertical="center"/>
    </xf>
    <xf numFmtId="8" fontId="3" fillId="0" borderId="0" xfId="9" quotePrefix="1" applyNumberFormat="1" applyFont="1" applyFill="1" applyBorder="1" applyAlignment="1">
      <alignment horizontal="left" vertical="center"/>
    </xf>
    <xf numFmtId="0" fontId="3" fillId="0" borderId="1" xfId="2" applyFont="1" applyBorder="1" applyAlignment="1">
      <alignment horizontal="left" wrapText="1" indent="1"/>
    </xf>
    <xf numFmtId="0" fontId="3" fillId="0" borderId="0" xfId="9" applyFont="1" applyFill="1" applyBorder="1" applyAlignment="1">
      <alignment horizontal="left" vertical="center" wrapText="1"/>
    </xf>
    <xf numFmtId="43" fontId="3" fillId="0" borderId="1" xfId="8" applyFont="1" applyFill="1" applyBorder="1" applyAlignment="1">
      <alignment horizontal="right" vertical="center"/>
    </xf>
    <xf numFmtId="165" fontId="4" fillId="0" borderId="0" xfId="2" applyNumberFormat="1" applyFont="1" applyFill="1" applyBorder="1" applyAlignment="1">
      <alignment horizontal="right"/>
    </xf>
    <xf numFmtId="0" fontId="4" fillId="0" borderId="0" xfId="2" applyFont="1" applyAlignment="1">
      <alignment horizontal="left"/>
    </xf>
    <xf numFmtId="0" fontId="3" fillId="0" borderId="0" xfId="9" applyFont="1" applyAlignment="1">
      <alignment horizontal="left"/>
    </xf>
    <xf numFmtId="0" fontId="3" fillId="0" borderId="0" xfId="9" applyFont="1" applyBorder="1" applyAlignment="1">
      <alignment horizontal="left"/>
    </xf>
    <xf numFmtId="9" fontId="3" fillId="5" borderId="0" xfId="3" applyFont="1" applyFill="1" applyBorder="1" applyAlignment="1">
      <alignment horizontal="center"/>
    </xf>
    <xf numFmtId="0" fontId="3" fillId="0" borderId="0" xfId="2" applyFont="1" applyFill="1" applyAlignment="1">
      <alignment horizontal="left"/>
    </xf>
    <xf numFmtId="0" fontId="4" fillId="3" borderId="13" xfId="2" applyFont="1" applyFill="1" applyBorder="1"/>
    <xf numFmtId="0" fontId="4" fillId="0" borderId="10" xfId="2" applyFont="1" applyFill="1" applyBorder="1"/>
    <xf numFmtId="0" fontId="4" fillId="0" borderId="0" xfId="2" applyFont="1" applyFill="1" applyBorder="1" applyAlignment="1">
      <alignment horizontal="right" indent="1"/>
    </xf>
    <xf numFmtId="171" fontId="4" fillId="0" borderId="36" xfId="2" applyNumberFormat="1" applyFont="1" applyBorder="1" applyAlignment="1">
      <alignment horizontal="right"/>
    </xf>
    <xf numFmtId="0" fontId="4" fillId="3" borderId="33" xfId="2" applyFont="1" applyFill="1" applyBorder="1" applyAlignment="1">
      <alignment horizontal="left" indent="1"/>
    </xf>
    <xf numFmtId="165" fontId="4" fillId="3" borderId="33" xfId="2" applyNumberFormat="1" applyFont="1" applyFill="1" applyBorder="1" applyAlignment="1">
      <alignment horizontal="right"/>
    </xf>
    <xf numFmtId="0" fontId="4" fillId="0" borderId="7" xfId="2" applyFont="1" applyBorder="1" applyAlignment="1">
      <alignment horizontal="left" indent="1"/>
    </xf>
    <xf numFmtId="0" fontId="4" fillId="0" borderId="7" xfId="2" applyFont="1" applyFill="1" applyBorder="1" applyAlignment="1">
      <alignment horizontal="left" indent="1"/>
    </xf>
    <xf numFmtId="0" fontId="3" fillId="0" borderId="35" xfId="2" applyFont="1" applyBorder="1" applyAlignment="1"/>
    <xf numFmtId="166" fontId="3" fillId="0" borderId="35" xfId="8" applyNumberFormat="1" applyFont="1" applyFill="1" applyBorder="1"/>
    <xf numFmtId="43" fontId="3" fillId="0" borderId="34" xfId="8" applyFont="1" applyBorder="1"/>
    <xf numFmtId="0" fontId="3" fillId="0" borderId="14" xfId="2" applyFont="1" applyBorder="1"/>
    <xf numFmtId="0" fontId="4" fillId="0" borderId="3" xfId="2" applyFont="1" applyFill="1" applyBorder="1" applyAlignment="1">
      <alignment horizontal="left" indent="1"/>
    </xf>
    <xf numFmtId="43" fontId="3" fillId="0" borderId="35" xfId="8" applyFont="1" applyBorder="1"/>
    <xf numFmtId="42" fontId="3" fillId="0" borderId="35" xfId="2" applyNumberFormat="1" applyFont="1" applyBorder="1"/>
    <xf numFmtId="0" fontId="3" fillId="0" borderId="14" xfId="9" applyFont="1" applyBorder="1"/>
    <xf numFmtId="44" fontId="3" fillId="5" borderId="8" xfId="1" applyFont="1" applyFill="1" applyBorder="1"/>
    <xf numFmtId="0" fontId="6" fillId="3" borderId="13" xfId="2" applyFont="1" applyFill="1" applyBorder="1" applyAlignment="1">
      <alignment horizontal="left" wrapText="1"/>
    </xf>
    <xf numFmtId="0" fontId="4" fillId="0" borderId="14" xfId="2" applyFont="1" applyFill="1" applyBorder="1" applyAlignment="1">
      <alignment horizontal="left" indent="1"/>
    </xf>
    <xf numFmtId="42" fontId="4" fillId="0" borderId="14" xfId="2" applyNumberFormat="1" applyFont="1" applyFill="1" applyBorder="1"/>
    <xf numFmtId="0" fontId="4" fillId="0" borderId="7" xfId="9" applyFont="1" applyFill="1" applyBorder="1"/>
    <xf numFmtId="165" fontId="4" fillId="0" borderId="34" xfId="2" applyNumberFormat="1" applyFont="1" applyFill="1" applyBorder="1" applyAlignment="1">
      <alignment horizontal="right"/>
    </xf>
    <xf numFmtId="165" fontId="3" fillId="0" borderId="34" xfId="2" applyNumberFormat="1" applyFont="1" applyFill="1" applyBorder="1" applyAlignment="1">
      <alignment horizontal="right"/>
    </xf>
    <xf numFmtId="43" fontId="3" fillId="0" borderId="35" xfId="8" applyFont="1" applyFill="1" applyBorder="1" applyAlignment="1">
      <alignment horizontal="right"/>
    </xf>
    <xf numFmtId="165" fontId="3" fillId="0" borderId="35" xfId="1" applyNumberFormat="1" applyFont="1" applyFill="1" applyBorder="1" applyAlignment="1">
      <alignment horizontal="right"/>
    </xf>
    <xf numFmtId="165" fontId="4" fillId="0" borderId="35" xfId="1" applyNumberFormat="1" applyFont="1" applyFill="1" applyBorder="1" applyAlignment="1">
      <alignment horizontal="right"/>
    </xf>
    <xf numFmtId="0" fontId="4" fillId="0" borderId="7" xfId="9" applyFont="1" applyBorder="1"/>
    <xf numFmtId="9" fontId="3" fillId="5" borderId="8" xfId="3" applyFont="1" applyFill="1" applyBorder="1" applyAlignment="1">
      <alignment horizontal="center" vertical="center"/>
    </xf>
    <xf numFmtId="0" fontId="17" fillId="0" borderId="8" xfId="2" applyFont="1" applyFill="1" applyBorder="1" applyAlignment="1">
      <alignment vertical="center"/>
    </xf>
    <xf numFmtId="0" fontId="20" fillId="0" borderId="0" xfId="9" applyFont="1" applyAlignment="1">
      <alignment vertical="center"/>
    </xf>
    <xf numFmtId="0" fontId="4" fillId="0" borderId="3" xfId="2" applyFont="1" applyFill="1" applyBorder="1" applyAlignment="1"/>
    <xf numFmtId="44" fontId="3" fillId="0" borderId="35" xfId="1" applyFont="1" applyBorder="1" applyAlignment="1">
      <alignment horizontal="right"/>
    </xf>
    <xf numFmtId="10" fontId="3" fillId="0" borderId="35" xfId="3" applyNumberFormat="1" applyFont="1" applyBorder="1" applyAlignment="1">
      <alignment horizontal="right"/>
    </xf>
    <xf numFmtId="165" fontId="3" fillId="0" borderId="35" xfId="2" applyNumberFormat="1" applyFont="1" applyFill="1" applyBorder="1" applyAlignment="1">
      <alignment horizontal="right"/>
    </xf>
    <xf numFmtId="0" fontId="3" fillId="0" borderId="8" xfId="9" applyFont="1" applyFill="1" applyBorder="1"/>
    <xf numFmtId="9" fontId="3" fillId="5" borderId="0" xfId="9" applyNumberFormat="1" applyFont="1" applyFill="1" applyBorder="1"/>
    <xf numFmtId="44" fontId="3" fillId="0" borderId="7" xfId="1" applyFont="1" applyFill="1" applyBorder="1"/>
    <xf numFmtId="166" fontId="3" fillId="0" borderId="35" xfId="8" applyNumberFormat="1" applyFont="1" applyBorder="1"/>
    <xf numFmtId="44" fontId="3" fillId="0" borderId="14" xfId="1" applyFont="1" applyFill="1" applyBorder="1"/>
    <xf numFmtId="0" fontId="4" fillId="0" borderId="5" xfId="2" applyFont="1" applyFill="1" applyBorder="1" applyAlignment="1">
      <alignment horizontal="left" indent="1"/>
    </xf>
    <xf numFmtId="9" fontId="3" fillId="5" borderId="8" xfId="9" applyNumberFormat="1" applyFont="1" applyFill="1" applyBorder="1"/>
    <xf numFmtId="166" fontId="3" fillId="0" borderId="36" xfId="8" applyNumberFormat="1" applyFont="1" applyFill="1" applyBorder="1"/>
    <xf numFmtId="44" fontId="3" fillId="0" borderId="35" xfId="1" applyNumberFormat="1" applyFont="1" applyFill="1" applyBorder="1" applyAlignment="1">
      <alignment horizontal="right"/>
    </xf>
    <xf numFmtId="0" fontId="3" fillId="0" borderId="7" xfId="9" applyFont="1" applyFill="1" applyBorder="1"/>
    <xf numFmtId="0" fontId="3" fillId="0" borderId="4" xfId="9" applyFont="1" applyFill="1" applyBorder="1"/>
    <xf numFmtId="9" fontId="3" fillId="0" borderId="34" xfId="7" applyFont="1" applyBorder="1"/>
    <xf numFmtId="0" fontId="3" fillId="5" borderId="2" xfId="9" applyFont="1" applyFill="1" applyBorder="1"/>
    <xf numFmtId="9" fontId="3" fillId="0" borderId="35" xfId="7" applyNumberFormat="1" applyFont="1" applyFill="1" applyBorder="1" applyAlignment="1">
      <alignment horizontal="right"/>
    </xf>
    <xf numFmtId="0" fontId="4" fillId="0" borderId="35" xfId="2" applyFont="1" applyBorder="1" applyAlignment="1">
      <alignment horizontal="right" indent="1"/>
    </xf>
    <xf numFmtId="7" fontId="3" fillId="0" borderId="37" xfId="2" applyNumberFormat="1" applyFont="1" applyBorder="1"/>
    <xf numFmtId="171" fontId="3" fillId="4" borderId="35" xfId="2" applyNumberFormat="1" applyFont="1" applyFill="1" applyBorder="1" applyAlignment="1">
      <alignment horizontal="right"/>
    </xf>
    <xf numFmtId="171" fontId="10" fillId="4" borderId="35" xfId="2" applyNumberFormat="1" applyFont="1" applyFill="1" applyBorder="1" applyAlignment="1">
      <alignment horizontal="right"/>
    </xf>
    <xf numFmtId="0" fontId="4" fillId="0" borderId="0" xfId="2" applyFont="1" applyBorder="1" applyAlignment="1">
      <alignment horizontal="left"/>
    </xf>
    <xf numFmtId="0" fontId="3" fillId="0" borderId="8" xfId="2" applyFont="1" applyBorder="1" applyAlignment="1">
      <alignment horizontal="left"/>
    </xf>
    <xf numFmtId="0" fontId="4" fillId="0" borderId="7" xfId="2" applyFont="1" applyBorder="1" applyAlignment="1">
      <alignment horizontal="left"/>
    </xf>
    <xf numFmtId="0" fontId="3" fillId="0" borderId="3" xfId="2" applyFont="1" applyBorder="1" applyAlignment="1">
      <alignment horizontal="left"/>
    </xf>
    <xf numFmtId="0" fontId="3" fillId="0" borderId="7" xfId="2" applyFont="1" applyBorder="1" applyAlignment="1">
      <alignment horizontal="left"/>
    </xf>
    <xf numFmtId="0" fontId="4" fillId="3" borderId="13" xfId="2" applyFont="1" applyFill="1" applyBorder="1" applyAlignment="1">
      <alignment horizontal="left"/>
    </xf>
    <xf numFmtId="0" fontId="6" fillId="0" borderId="1" xfId="2" applyFont="1" applyFill="1" applyBorder="1" applyAlignment="1">
      <alignment horizontal="left"/>
    </xf>
    <xf numFmtId="0" fontId="3" fillId="0" borderId="14" xfId="2" applyFont="1" applyBorder="1" applyAlignment="1">
      <alignment horizontal="left"/>
    </xf>
    <xf numFmtId="44" fontId="3" fillId="0" borderId="14" xfId="2" applyNumberFormat="1" applyFont="1" applyBorder="1" applyAlignment="1">
      <alignment horizontal="right"/>
    </xf>
    <xf numFmtId="0" fontId="4" fillId="0" borderId="8" xfId="2" applyFont="1" applyBorder="1" applyAlignment="1">
      <alignment horizontal="left" indent="1"/>
    </xf>
    <xf numFmtId="171" fontId="4" fillId="0" borderId="6" xfId="2" applyNumberFormat="1" applyFont="1" applyBorder="1" applyAlignment="1">
      <alignment horizontal="right"/>
    </xf>
    <xf numFmtId="165" fontId="4" fillId="0" borderId="15" xfId="2" applyNumberFormat="1" applyFont="1" applyBorder="1" applyAlignment="1">
      <alignment horizontal="right"/>
    </xf>
    <xf numFmtId="44" fontId="3" fillId="0" borderId="8" xfId="2" applyNumberFormat="1" applyFont="1" applyBorder="1" applyAlignment="1">
      <alignment horizontal="right"/>
    </xf>
    <xf numFmtId="165" fontId="4" fillId="0" borderId="7" xfId="2" applyNumberFormat="1" applyFont="1" applyBorder="1" applyAlignment="1">
      <alignment horizontal="right"/>
    </xf>
    <xf numFmtId="165" fontId="4" fillId="0" borderId="0" xfId="2" applyNumberFormat="1" applyFont="1" applyBorder="1" applyAlignment="1">
      <alignment horizontal="right"/>
    </xf>
    <xf numFmtId="165" fontId="3" fillId="0" borderId="0" xfId="2" applyNumberFormat="1" applyFont="1" applyFill="1" applyBorder="1" applyAlignment="1">
      <alignment horizontal="right"/>
    </xf>
    <xf numFmtId="165" fontId="4" fillId="0" borderId="7" xfId="2" applyNumberFormat="1" applyFont="1" applyFill="1" applyBorder="1" applyAlignment="1">
      <alignment horizontal="right"/>
    </xf>
    <xf numFmtId="0" fontId="3" fillId="0" borderId="15" xfId="2" applyFont="1" applyBorder="1"/>
    <xf numFmtId="0" fontId="4" fillId="0" borderId="4" xfId="2" applyFont="1" applyFill="1" applyBorder="1" applyAlignment="1">
      <alignment horizontal="center"/>
    </xf>
    <xf numFmtId="44" fontId="3" fillId="0" borderId="15" xfId="2" applyNumberFormat="1" applyFont="1" applyBorder="1" applyAlignment="1">
      <alignment horizontal="right"/>
    </xf>
    <xf numFmtId="42" fontId="3" fillId="0" borderId="0" xfId="2" applyNumberFormat="1" applyFont="1" applyBorder="1"/>
    <xf numFmtId="42" fontId="11" fillId="3" borderId="15" xfId="2" applyNumberFormat="1" applyFont="1" applyFill="1" applyBorder="1"/>
    <xf numFmtId="42" fontId="3" fillId="0" borderId="15" xfId="2" applyNumberFormat="1" applyFont="1" applyBorder="1"/>
    <xf numFmtId="166" fontId="3" fillId="0" borderId="15" xfId="8" applyNumberFormat="1" applyFont="1" applyFill="1" applyBorder="1"/>
    <xf numFmtId="166" fontId="3" fillId="0" borderId="4" xfId="8" applyNumberFormat="1" applyFont="1" applyFill="1" applyBorder="1"/>
    <xf numFmtId="165" fontId="4" fillId="3" borderId="15" xfId="1" applyNumberFormat="1" applyFont="1" applyFill="1" applyBorder="1"/>
    <xf numFmtId="43" fontId="3" fillId="0" borderId="7" xfId="8" applyFont="1" applyBorder="1"/>
    <xf numFmtId="43" fontId="3" fillId="0" borderId="15" xfId="8" applyFont="1" applyBorder="1"/>
    <xf numFmtId="43" fontId="3" fillId="0" borderId="0" xfId="8" applyFont="1" applyBorder="1"/>
    <xf numFmtId="42" fontId="3" fillId="0" borderId="0" xfId="2" applyNumberFormat="1" applyFont="1" applyFill="1" applyBorder="1"/>
    <xf numFmtId="42" fontId="4" fillId="0" borderId="0" xfId="2" applyNumberFormat="1" applyFont="1" applyFill="1" applyBorder="1"/>
    <xf numFmtId="42" fontId="6" fillId="3" borderId="15" xfId="2" applyNumberFormat="1" applyFont="1" applyFill="1" applyBorder="1"/>
    <xf numFmtId="0" fontId="4" fillId="0" borderId="13" xfId="2" applyFont="1" applyBorder="1" applyAlignment="1">
      <alignment horizontal="left" vertical="center"/>
    </xf>
    <xf numFmtId="0" fontId="4" fillId="0" borderId="13" xfId="9" applyFont="1" applyBorder="1" applyAlignment="1">
      <alignment horizontal="left" vertical="center" wrapText="1"/>
    </xf>
    <xf numFmtId="0" fontId="3" fillId="0" borderId="13" xfId="2" applyFont="1" applyBorder="1" applyAlignment="1">
      <alignment horizontal="left" vertical="center" wrapText="1"/>
    </xf>
    <xf numFmtId="0" fontId="4" fillId="0" borderId="13" xfId="2" applyFont="1" applyBorder="1" applyAlignment="1">
      <alignment horizontal="left"/>
    </xf>
    <xf numFmtId="0" fontId="3" fillId="0" borderId="13" xfId="2" applyFont="1" applyBorder="1" applyAlignment="1">
      <alignment horizontal="left" wrapText="1"/>
    </xf>
    <xf numFmtId="0" fontId="4" fillId="0" borderId="13" xfId="2" applyFont="1" applyFill="1" applyBorder="1" applyAlignment="1">
      <alignment horizontal="left"/>
    </xf>
    <xf numFmtId="0" fontId="4" fillId="0" borderId="5" xfId="2" applyFont="1" applyFill="1" applyBorder="1" applyAlignment="1">
      <alignment horizontal="left" wrapText="1"/>
    </xf>
    <xf numFmtId="0" fontId="6" fillId="3" borderId="13" xfId="2" applyFont="1" applyFill="1" applyBorder="1" applyAlignment="1">
      <alignment horizontal="left"/>
    </xf>
    <xf numFmtId="0" fontId="3" fillId="0" borderId="3" xfId="2" applyFont="1" applyBorder="1" applyAlignment="1">
      <alignment horizontal="left" wrapText="1" indent="1"/>
    </xf>
    <xf numFmtId="0" fontId="3" fillId="0" borderId="5" xfId="2" applyFont="1" applyBorder="1" applyAlignment="1">
      <alignment horizontal="left"/>
    </xf>
    <xf numFmtId="0" fontId="9" fillId="0" borderId="0" xfId="2" applyFont="1" applyBorder="1" applyAlignment="1">
      <alignment horizontal="left"/>
    </xf>
    <xf numFmtId="0" fontId="3" fillId="0" borderId="0" xfId="2" applyFont="1" applyBorder="1" applyAlignment="1">
      <alignment horizontal="left"/>
    </xf>
    <xf numFmtId="0" fontId="3" fillId="0" borderId="2" xfId="2" applyFont="1" applyFill="1" applyBorder="1" applyAlignment="1">
      <alignment horizontal="right" indent="1"/>
    </xf>
    <xf numFmtId="0" fontId="4" fillId="0" borderId="14" xfId="2" applyFont="1" applyBorder="1" applyAlignment="1">
      <alignment horizontal="left" indent="4"/>
    </xf>
    <xf numFmtId="0" fontId="4" fillId="3" borderId="13" xfId="2" applyFont="1" applyFill="1" applyBorder="1" applyAlignment="1">
      <alignment horizontal="left" vertical="center" wrapText="1"/>
    </xf>
    <xf numFmtId="165" fontId="4" fillId="3" borderId="15" xfId="2" applyNumberFormat="1" applyFont="1" applyFill="1" applyBorder="1" applyAlignment="1">
      <alignment horizontal="right" vertical="center"/>
    </xf>
    <xf numFmtId="166" fontId="3" fillId="0" borderId="2" xfId="8" applyNumberFormat="1" applyFont="1" applyFill="1" applyBorder="1" applyAlignment="1"/>
    <xf numFmtId="0" fontId="4" fillId="10" borderId="0" xfId="2" applyFont="1" applyFill="1" applyBorder="1" applyAlignment="1"/>
    <xf numFmtId="0" fontId="3" fillId="10" borderId="28" xfId="0" applyFont="1" applyFill="1" applyBorder="1"/>
    <xf numFmtId="0" fontId="6" fillId="3" borderId="13" xfId="2" applyFont="1" applyFill="1" applyBorder="1" applyAlignment="1">
      <alignment horizontal="left" vertical="center" wrapText="1"/>
    </xf>
    <xf numFmtId="42" fontId="4" fillId="0" borderId="7" xfId="2" applyNumberFormat="1" applyFont="1" applyFill="1" applyBorder="1"/>
    <xf numFmtId="0" fontId="15" fillId="0" borderId="8" xfId="2" applyFont="1" applyFill="1" applyBorder="1" applyAlignment="1">
      <alignment horizontal="left"/>
    </xf>
    <xf numFmtId="42" fontId="3" fillId="0" borderId="8" xfId="2" applyNumberFormat="1" applyFont="1" applyFill="1" applyBorder="1"/>
    <xf numFmtId="171" fontId="4" fillId="0" borderId="38" xfId="2" applyNumberFormat="1" applyFont="1" applyBorder="1" applyAlignment="1">
      <alignment horizontal="right"/>
    </xf>
    <xf numFmtId="0" fontId="3" fillId="0" borderId="28" xfId="2" applyFont="1" applyBorder="1" applyAlignment="1">
      <alignment horizontal="left" vertical="center" wrapText="1"/>
    </xf>
    <xf numFmtId="0" fontId="3" fillId="0" borderId="28" xfId="2" applyFont="1" applyBorder="1" applyAlignment="1"/>
    <xf numFmtId="0" fontId="3" fillId="0" borderId="1" xfId="2" applyFont="1" applyFill="1" applyBorder="1" applyAlignment="1">
      <alignment horizontal="left"/>
    </xf>
    <xf numFmtId="0" fontId="4" fillId="0" borderId="2" xfId="2" applyFont="1" applyFill="1" applyBorder="1" applyAlignment="1">
      <alignment horizontal="center"/>
    </xf>
    <xf numFmtId="43" fontId="3" fillId="0" borderId="2" xfId="8" applyFont="1" applyFill="1" applyBorder="1"/>
    <xf numFmtId="0" fontId="4" fillId="0" borderId="8" xfId="2" applyFont="1" applyBorder="1" applyAlignment="1">
      <alignment horizontal="left" indent="4"/>
    </xf>
    <xf numFmtId="43" fontId="3" fillId="0" borderId="14" xfId="8" applyFont="1" applyBorder="1"/>
    <xf numFmtId="0" fontId="3" fillId="0" borderId="8" xfId="2" applyFont="1" applyFill="1" applyBorder="1" applyAlignment="1">
      <alignment horizontal="left"/>
    </xf>
    <xf numFmtId="165" fontId="3" fillId="0" borderId="8" xfId="2" applyNumberFormat="1" applyFont="1" applyFill="1" applyBorder="1" applyAlignment="1">
      <alignment horizontal="right"/>
    </xf>
    <xf numFmtId="0" fontId="3" fillId="0" borderId="0" xfId="9"/>
    <xf numFmtId="0" fontId="3" fillId="0" borderId="4" xfId="2" applyFont="1" applyFill="1" applyBorder="1" applyAlignment="1">
      <alignment horizontal="right" indent="1"/>
    </xf>
    <xf numFmtId="0" fontId="7" fillId="0" borderId="2" xfId="2" applyFont="1" applyFill="1" applyBorder="1" applyAlignment="1">
      <alignment horizontal="right" indent="1"/>
    </xf>
    <xf numFmtId="0" fontId="3" fillId="0" borderId="0" xfId="2" applyFont="1" applyAlignment="1">
      <alignment horizontal="left" vertical="center"/>
    </xf>
    <xf numFmtId="0" fontId="3" fillId="0" borderId="14" xfId="9" applyFont="1" applyBorder="1" applyAlignment="1">
      <alignment vertical="center"/>
    </xf>
    <xf numFmtId="165" fontId="7" fillId="0" borderId="2" xfId="2" applyNumberFormat="1" applyFont="1" applyFill="1" applyBorder="1" applyAlignment="1">
      <alignment horizontal="right"/>
    </xf>
    <xf numFmtId="171" fontId="3" fillId="0" borderId="4" xfId="2" applyNumberFormat="1" applyFont="1" applyFill="1" applyBorder="1" applyAlignment="1">
      <alignment horizontal="right"/>
    </xf>
    <xf numFmtId="171" fontId="3" fillId="0" borderId="2" xfId="2" applyNumberFormat="1" applyFont="1" applyFill="1" applyBorder="1" applyAlignment="1">
      <alignment horizontal="right"/>
    </xf>
    <xf numFmtId="171" fontId="10" fillId="0" borderId="6" xfId="2" applyNumberFormat="1" applyFont="1" applyFill="1" applyBorder="1" applyAlignment="1">
      <alignment horizontal="right"/>
    </xf>
    <xf numFmtId="0" fontId="4" fillId="0" borderId="7" xfId="2" applyFont="1" applyBorder="1" applyAlignment="1">
      <alignment horizontal="left" indent="4"/>
    </xf>
    <xf numFmtId="0" fontId="4" fillId="0" borderId="3" xfId="2" applyFont="1" applyFill="1" applyBorder="1"/>
    <xf numFmtId="0" fontId="4" fillId="0" borderId="7" xfId="2" applyFont="1" applyBorder="1"/>
    <xf numFmtId="44" fontId="3" fillId="0" borderId="4" xfId="2" applyNumberFormat="1" applyFont="1" applyBorder="1" applyAlignment="1">
      <alignment horizontal="right"/>
    </xf>
    <xf numFmtId="173" fontId="3" fillId="0" borderId="6" xfId="10" applyNumberFormat="1" applyFont="1" applyFill="1" applyBorder="1"/>
    <xf numFmtId="0" fontId="4" fillId="0" borderId="2" xfId="2" applyFont="1" applyBorder="1" applyAlignment="1">
      <alignment horizontal="right" indent="1"/>
    </xf>
    <xf numFmtId="0" fontId="4" fillId="0" borderId="5" xfId="2" applyFont="1" applyBorder="1" applyAlignment="1">
      <alignment horizontal="left" vertical="center"/>
    </xf>
    <xf numFmtId="0" fontId="4" fillId="0" borderId="14" xfId="2" applyFont="1" applyBorder="1" applyAlignment="1">
      <alignment horizontal="left" indent="1"/>
    </xf>
    <xf numFmtId="166" fontId="3" fillId="0" borderId="4" xfId="8" applyNumberFormat="1" applyFont="1" applyFill="1" applyBorder="1" applyAlignment="1"/>
    <xf numFmtId="0" fontId="28" fillId="0" borderId="0" xfId="0" applyFont="1"/>
    <xf numFmtId="0" fontId="29" fillId="0" borderId="0" xfId="0" applyFont="1"/>
    <xf numFmtId="0" fontId="3" fillId="0" borderId="0" xfId="9" applyAlignment="1">
      <alignment wrapText="1"/>
    </xf>
    <xf numFmtId="0" fontId="3" fillId="0" borderId="0" xfId="9" applyAlignment="1">
      <alignment vertical="center" wrapText="1"/>
    </xf>
    <xf numFmtId="0" fontId="3" fillId="0" borderId="0" xfId="9" applyFont="1" applyAlignment="1">
      <alignment wrapText="1"/>
    </xf>
    <xf numFmtId="0" fontId="3" fillId="0" borderId="0" xfId="9" applyFont="1" applyAlignment="1">
      <alignment vertical="center" wrapText="1"/>
    </xf>
    <xf numFmtId="166" fontId="3" fillId="0" borderId="1" xfId="8" applyNumberFormat="1" applyFont="1" applyFill="1" applyBorder="1" applyAlignment="1">
      <alignment horizontal="right"/>
    </xf>
    <xf numFmtId="0" fontId="3" fillId="0" borderId="5" xfId="2" applyFont="1" applyFill="1" applyBorder="1"/>
    <xf numFmtId="9" fontId="4" fillId="0" borderId="8" xfId="3" applyFont="1" applyFill="1" applyBorder="1"/>
    <xf numFmtId="9" fontId="3" fillId="0" borderId="8" xfId="3" applyFont="1" applyFill="1" applyBorder="1"/>
    <xf numFmtId="44" fontId="3" fillId="0" borderId="6" xfId="2" applyNumberFormat="1" applyFont="1" applyFill="1" applyBorder="1" applyAlignment="1">
      <alignment horizontal="right"/>
    </xf>
    <xf numFmtId="0" fontId="3" fillId="0" borderId="0" xfId="9" applyFont="1" applyFill="1" applyAlignment="1">
      <alignment vertical="center" wrapText="1"/>
    </xf>
    <xf numFmtId="165" fontId="3" fillId="0" borderId="2" xfId="2" applyNumberFormat="1" applyFont="1" applyBorder="1" applyAlignment="1">
      <alignment horizontal="right"/>
    </xf>
    <xf numFmtId="0" fontId="4" fillId="0" borderId="0" xfId="2" applyFont="1" applyFill="1" applyBorder="1" applyAlignment="1">
      <alignment horizontal="right" vertical="center"/>
    </xf>
    <xf numFmtId="0" fontId="3" fillId="0" borderId="0" xfId="9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wrapText="1"/>
    </xf>
    <xf numFmtId="165" fontId="3" fillId="0" borderId="0" xfId="9" applyNumberFormat="1" applyFont="1"/>
    <xf numFmtId="10" fontId="3" fillId="0" borderId="35" xfId="3" applyNumberFormat="1" applyFont="1" applyFill="1" applyBorder="1"/>
    <xf numFmtId="43" fontId="3" fillId="0" borderId="35" xfId="8" applyFont="1" applyFill="1" applyBorder="1"/>
    <xf numFmtId="0" fontId="3" fillId="0" borderId="3" xfId="2" applyFont="1" applyFill="1" applyBorder="1" applyAlignment="1">
      <alignment horizontal="left" wrapText="1"/>
    </xf>
    <xf numFmtId="165" fontId="4" fillId="3" borderId="33" xfId="1" applyNumberFormat="1" applyFont="1" applyFill="1" applyBorder="1"/>
    <xf numFmtId="0" fontId="4" fillId="2" borderId="15" xfId="2" applyFont="1" applyFill="1" applyBorder="1" applyAlignment="1" applyProtection="1">
      <alignment horizontal="center" vertical="center" wrapText="1"/>
      <protection locked="0"/>
    </xf>
    <xf numFmtId="171" fontId="4" fillId="2" borderId="15" xfId="2" applyNumberFormat="1" applyFont="1" applyFill="1" applyBorder="1" applyAlignment="1" applyProtection="1">
      <alignment horizontal="right"/>
      <protection locked="0"/>
    </xf>
    <xf numFmtId="44" fontId="4" fillId="2" borderId="15" xfId="2" applyNumberFormat="1" applyFont="1" applyFill="1" applyBorder="1" applyAlignment="1" applyProtection="1">
      <alignment horizontal="center" vertical="center" wrapText="1"/>
      <protection locked="0"/>
    </xf>
    <xf numFmtId="44" fontId="3" fillId="2" borderId="15" xfId="2" applyNumberFormat="1" applyFont="1" applyFill="1" applyBorder="1" applyAlignment="1" applyProtection="1">
      <alignment horizontal="right" vertical="center"/>
      <protection locked="0"/>
    </xf>
    <xf numFmtId="10" fontId="3" fillId="2" borderId="15" xfId="3" applyNumberFormat="1" applyFont="1" applyFill="1" applyBorder="1" applyAlignment="1" applyProtection="1">
      <alignment horizontal="right" vertical="center"/>
      <protection locked="0"/>
    </xf>
    <xf numFmtId="172" fontId="3" fillId="2" borderId="15" xfId="8" applyNumberFormat="1" applyFont="1" applyFill="1" applyBorder="1" applyAlignment="1" applyProtection="1">
      <alignment horizontal="right" vertical="center"/>
      <protection locked="0"/>
    </xf>
    <xf numFmtId="165" fontId="3" fillId="2" borderId="6" xfId="2" applyNumberFormat="1" applyFont="1" applyFill="1" applyBorder="1" applyAlignment="1" applyProtection="1">
      <alignment horizontal="right" vertical="center"/>
      <protection locked="0"/>
    </xf>
    <xf numFmtId="0" fontId="4" fillId="2" borderId="6" xfId="2" applyFont="1" applyFill="1" applyBorder="1" applyAlignment="1" applyProtection="1">
      <alignment horizontal="center" vertical="center" wrapText="1"/>
      <protection locked="0"/>
    </xf>
    <xf numFmtId="166" fontId="3" fillId="2" borderId="2" xfId="8" applyNumberFormat="1" applyFont="1" applyFill="1" applyBorder="1" applyAlignment="1" applyProtection="1">
      <alignment vertical="center"/>
      <protection locked="0"/>
    </xf>
    <xf numFmtId="173" fontId="3" fillId="2" borderId="2" xfId="8" applyNumberFormat="1" applyFont="1" applyFill="1" applyBorder="1" applyAlignment="1" applyProtection="1">
      <alignment horizontal="right"/>
      <protection locked="0"/>
    </xf>
    <xf numFmtId="43" fontId="3" fillId="2" borderId="2" xfId="8" applyFont="1" applyFill="1" applyBorder="1" applyProtection="1">
      <protection locked="0"/>
    </xf>
    <xf numFmtId="173" fontId="3" fillId="2" borderId="6" xfId="10" applyNumberFormat="1" applyFont="1" applyFill="1" applyBorder="1" applyProtection="1">
      <protection locked="0"/>
    </xf>
    <xf numFmtId="43" fontId="3" fillId="2" borderId="6" xfId="8" applyFont="1" applyFill="1" applyBorder="1" applyProtection="1">
      <protection locked="0"/>
    </xf>
    <xf numFmtId="0" fontId="3" fillId="2" borderId="3" xfId="2" applyFont="1" applyFill="1" applyBorder="1" applyProtection="1">
      <protection locked="0"/>
    </xf>
    <xf numFmtId="0" fontId="3" fillId="2" borderId="1" xfId="2" applyFont="1" applyFill="1" applyBorder="1" applyProtection="1">
      <protection locked="0"/>
    </xf>
    <xf numFmtId="165" fontId="3" fillId="2" borderId="35" xfId="1" applyNumberFormat="1" applyFont="1" applyFill="1" applyBorder="1" applyProtection="1">
      <protection locked="0"/>
    </xf>
    <xf numFmtId="165" fontId="3" fillId="2" borderId="34" xfId="1" applyNumberFormat="1" applyFont="1" applyFill="1" applyBorder="1" applyProtection="1">
      <protection locked="0"/>
    </xf>
    <xf numFmtId="174" fontId="4" fillId="2" borderId="15" xfId="2" applyNumberFormat="1" applyFont="1" applyFill="1" applyBorder="1" applyAlignment="1" applyProtection="1">
      <alignment horizontal="right" vertical="center"/>
      <protection locked="0"/>
    </xf>
    <xf numFmtId="0" fontId="4" fillId="0" borderId="3" xfId="2" applyFont="1" applyFill="1" applyBorder="1" applyAlignment="1">
      <alignment horizontal="left"/>
    </xf>
    <xf numFmtId="0" fontId="3" fillId="0" borderId="0" xfId="9" applyFont="1" applyFill="1" applyAlignment="1">
      <alignment wrapText="1"/>
    </xf>
    <xf numFmtId="172" fontId="3" fillId="0" borderId="2" xfId="8" applyNumberFormat="1" applyFont="1" applyBorder="1" applyAlignment="1">
      <alignment horizontal="right"/>
    </xf>
    <xf numFmtId="172" fontId="3" fillId="0" borderId="35" xfId="8" applyNumberFormat="1" applyFont="1" applyFill="1" applyBorder="1" applyAlignment="1">
      <alignment horizontal="right"/>
    </xf>
    <xf numFmtId="44" fontId="3" fillId="5" borderId="0" xfId="1" applyFont="1" applyFill="1" applyBorder="1" applyAlignment="1"/>
    <xf numFmtId="0" fontId="4" fillId="0" borderId="7" xfId="9" applyFont="1" applyFill="1" applyBorder="1" applyAlignment="1">
      <alignment horizontal="right"/>
    </xf>
    <xf numFmtId="42" fontId="6" fillId="3" borderId="15" xfId="2" applyNumberFormat="1" applyFont="1" applyFill="1" applyBorder="1" applyAlignment="1">
      <alignment vertical="center"/>
    </xf>
    <xf numFmtId="0" fontId="3" fillId="0" borderId="7" xfId="2" applyFont="1" applyFill="1" applyBorder="1" applyAlignment="1">
      <alignment horizontal="left"/>
    </xf>
    <xf numFmtId="0" fontId="3" fillId="0" borderId="5" xfId="2" applyFont="1" applyFill="1" applyBorder="1" applyAlignment="1">
      <alignment horizontal="left" wrapText="1"/>
    </xf>
    <xf numFmtId="0" fontId="3" fillId="0" borderId="0" xfId="9" applyFont="1" applyBorder="1" applyAlignment="1">
      <alignment horizontal="right"/>
    </xf>
    <xf numFmtId="0" fontId="3" fillId="0" borderId="0" xfId="9" applyFont="1" applyBorder="1" applyAlignment="1">
      <alignment horizontal="left" vertical="center" wrapText="1"/>
    </xf>
    <xf numFmtId="0" fontId="3" fillId="0" borderId="0" xfId="9" applyAlignment="1">
      <alignment vertical="center"/>
    </xf>
    <xf numFmtId="10" fontId="3" fillId="0" borderId="2" xfId="3" applyNumberFormat="1" applyFont="1" applyFill="1" applyBorder="1" applyAlignment="1" applyProtection="1">
      <alignment horizontal="right" vertical="center"/>
      <protection locked="0"/>
    </xf>
    <xf numFmtId="173" fontId="3" fillId="0" borderId="2" xfId="10" applyNumberFormat="1" applyFont="1" applyFill="1" applyBorder="1" applyAlignment="1" applyProtection="1">
      <alignment horizontal="right"/>
    </xf>
    <xf numFmtId="173" fontId="3" fillId="0" borderId="6" xfId="10" applyNumberFormat="1" applyFont="1" applyFill="1" applyBorder="1" applyAlignment="1" applyProtection="1">
      <alignment horizontal="right"/>
    </xf>
    <xf numFmtId="0" fontId="3" fillId="0" borderId="0" xfId="9" applyBorder="1" applyAlignment="1">
      <alignment vertical="center"/>
    </xf>
    <xf numFmtId="0" fontId="4" fillId="0" borderId="5" xfId="2" applyFont="1" applyBorder="1" applyAlignment="1">
      <alignment horizontal="left" indent="4"/>
    </xf>
    <xf numFmtId="10" fontId="3" fillId="0" borderId="35" xfId="3" applyNumberFormat="1" applyFont="1" applyFill="1" applyBorder="1" applyAlignment="1" applyProtection="1">
      <alignment horizontal="right" vertical="center"/>
      <protection locked="0"/>
    </xf>
    <xf numFmtId="173" fontId="3" fillId="0" borderId="35" xfId="10" applyNumberFormat="1" applyFont="1" applyFill="1" applyBorder="1" applyAlignment="1" applyProtection="1">
      <alignment horizontal="right"/>
    </xf>
    <xf numFmtId="43" fontId="3" fillId="0" borderId="36" xfId="8" applyFont="1" applyBorder="1"/>
    <xf numFmtId="171" fontId="3" fillId="2" borderId="2" xfId="2" applyNumberFormat="1" applyFont="1" applyFill="1" applyBorder="1" applyAlignment="1" applyProtection="1">
      <alignment horizontal="right"/>
      <protection locked="0"/>
    </xf>
    <xf numFmtId="0" fontId="3" fillId="0" borderId="2" xfId="2" applyFont="1" applyBorder="1" applyAlignment="1">
      <alignment horizontal="right" indent="1"/>
    </xf>
    <xf numFmtId="171" fontId="10" fillId="2" borderId="2" xfId="2" applyNumberFormat="1" applyFont="1" applyFill="1" applyBorder="1" applyAlignment="1" applyProtection="1">
      <alignment horizontal="right"/>
      <protection locked="0"/>
    </xf>
    <xf numFmtId="43" fontId="3" fillId="0" borderId="4" xfId="8" applyFont="1" applyBorder="1"/>
    <xf numFmtId="0" fontId="15" fillId="3" borderId="31" xfId="0" applyFont="1" applyFill="1" applyBorder="1" applyAlignment="1">
      <alignment horizontal="center" wrapText="1"/>
    </xf>
    <xf numFmtId="0" fontId="15" fillId="0" borderId="27" xfId="0" applyFont="1" applyBorder="1" applyAlignment="1">
      <alignment horizontal="center" wrapText="1"/>
    </xf>
    <xf numFmtId="0" fontId="15" fillId="0" borderId="18" xfId="0" applyFont="1" applyBorder="1" applyAlignment="1">
      <alignment horizontal="center" wrapText="1"/>
    </xf>
    <xf numFmtId="0" fontId="15" fillId="7" borderId="25" xfId="0" applyFont="1" applyFill="1" applyBorder="1" applyAlignment="1">
      <alignment horizontal="center" wrapText="1"/>
    </xf>
    <xf numFmtId="0" fontId="15" fillId="7" borderId="29" xfId="0" applyFont="1" applyFill="1" applyBorder="1" applyAlignment="1">
      <alignment horizontal="center" wrapText="1"/>
    </xf>
    <xf numFmtId="0" fontId="3" fillId="0" borderId="0" xfId="9" applyFont="1" applyBorder="1" applyAlignment="1">
      <alignment horizontal="left" vertical="center" wrapText="1"/>
    </xf>
    <xf numFmtId="0" fontId="4" fillId="0" borderId="7" xfId="9" applyFont="1" applyFill="1" applyBorder="1" applyAlignment="1">
      <alignment horizontal="center"/>
    </xf>
    <xf numFmtId="8" fontId="4" fillId="0" borderId="0" xfId="9" quotePrefix="1" applyNumberFormat="1" applyFont="1" applyAlignment="1">
      <alignment horizontal="left" wrapText="1"/>
    </xf>
    <xf numFmtId="8" fontId="4" fillId="0" borderId="0" xfId="9" quotePrefix="1" applyNumberFormat="1" applyFont="1" applyBorder="1" applyAlignment="1">
      <alignment horizontal="left" wrapText="1"/>
    </xf>
    <xf numFmtId="0" fontId="3" fillId="0" borderId="2" xfId="9" applyFont="1" applyBorder="1" applyAlignment="1">
      <alignment horizontal="left" vertical="center" wrapText="1"/>
    </xf>
    <xf numFmtId="0" fontId="27" fillId="0" borderId="0" xfId="2" applyFont="1" applyBorder="1" applyAlignment="1">
      <alignment horizontal="center" wrapText="1"/>
    </xf>
    <xf numFmtId="0" fontId="12" fillId="0" borderId="0" xfId="2" applyFont="1" applyBorder="1" applyAlignment="1">
      <alignment horizontal="center" wrapText="1"/>
    </xf>
  </cellXfs>
  <cellStyles count="12">
    <cellStyle name="Milliers" xfId="8" builtinId="3"/>
    <cellStyle name="Milliers 2" xfId="5" xr:uid="{45D3073E-74ED-4126-8D94-2A82F5D39F34}"/>
    <cellStyle name="Milliers 3" xfId="10" xr:uid="{07822673-417E-495C-BFBE-86483A213C25}"/>
    <cellStyle name="Monétaire" xfId="1" builtinId="4"/>
    <cellStyle name="Monétaire 2" xfId="6" xr:uid="{1F3A4EAC-0BE6-47C5-8010-E4ED20119C22}"/>
    <cellStyle name="Monétaire 2 2" xfId="11" xr:uid="{CBB995D8-0938-4118-BB8D-C3670C5D28EE}"/>
    <cellStyle name="Normal" xfId="0" builtinId="0"/>
    <cellStyle name="Normal 2" xfId="4" xr:uid="{4DFE8A50-181D-4A5B-8228-E59D2EAD6D7D}"/>
    <cellStyle name="Normal 3" xfId="9" xr:uid="{3C66249B-45FA-4A94-B350-331CCF23EFFA}"/>
    <cellStyle name="Normal_Écart_garderies" xfId="2" xr:uid="{00000000-0005-0000-0000-000003000000}"/>
    <cellStyle name="Pourcentage" xfId="3" builtinId="5"/>
    <cellStyle name="Pourcentage 2" xfId="7" xr:uid="{0679DDF0-5BD8-45FE-BBC0-ADE954C4F5F4}"/>
  </cellStyles>
  <dxfs count="2"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</dxfs>
  <tableStyles count="1" defaultTableStyle="TableStyleMedium9" defaultPivotStyle="PivotStyleLight16">
    <tableStyle name="Invisible" pivot="0" table="0" count="0" xr9:uid="{10CB1055-0BF4-4B73-ABA5-D176C0E7761D}"/>
  </tableStyles>
  <colors>
    <mruColors>
      <color rgb="FFFF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2ED33-4BF2-408F-AA45-9599C56E7A4A}">
  <dimension ref="A1:D310"/>
  <sheetViews>
    <sheetView showGridLines="0" workbookViewId="0">
      <pane xSplit="1" ySplit="4" topLeftCell="B5" activePane="bottomRight" state="frozen"/>
      <selection activeCell="B29" sqref="B29"/>
      <selection pane="topRight" activeCell="B29" sqref="B29"/>
      <selection pane="bottomLeft" activeCell="B29" sqref="B29"/>
      <selection pane="bottomRight" activeCell="B155" sqref="B155"/>
    </sheetView>
  </sheetViews>
  <sheetFormatPr baseColWidth="10" defaultColWidth="11.42578125" defaultRowHeight="12.75" x14ac:dyDescent="0.2"/>
  <cols>
    <col min="1" max="1" width="39.5703125" style="153" customWidth="1"/>
    <col min="2" max="2" width="53.85546875" style="9" customWidth="1"/>
    <col min="3" max="3" width="18" style="9" customWidth="1"/>
    <col min="4" max="4" width="19.7109375" style="9" customWidth="1"/>
    <col min="5" max="16384" width="11.42578125" style="9"/>
  </cols>
  <sheetData>
    <row r="1" spans="1:4" x14ac:dyDescent="0.2">
      <c r="A1" s="171" t="s">
        <v>167</v>
      </c>
      <c r="B1" s="156" t="s">
        <v>194</v>
      </c>
      <c r="C1" s="156"/>
      <c r="D1" s="156"/>
    </row>
    <row r="2" spans="1:4" ht="52.5" thickBot="1" x14ac:dyDescent="0.3">
      <c r="A2" s="152" t="s">
        <v>193</v>
      </c>
      <c r="B2" s="422" t="s">
        <v>92</v>
      </c>
      <c r="C2" s="422"/>
      <c r="D2" s="422"/>
    </row>
    <row r="3" spans="1:4" ht="18.75" thickTop="1" x14ac:dyDescent="0.25">
      <c r="B3" s="423" t="s">
        <v>93</v>
      </c>
      <c r="C3" s="424"/>
      <c r="D3" s="424"/>
    </row>
    <row r="4" spans="1:4" ht="32.25" customHeight="1" x14ac:dyDescent="0.2">
      <c r="A4" s="152" t="s">
        <v>180</v>
      </c>
      <c r="B4" s="81" t="s">
        <v>94</v>
      </c>
      <c r="C4" s="89" t="s">
        <v>120</v>
      </c>
      <c r="D4" s="82" t="s">
        <v>119</v>
      </c>
    </row>
    <row r="5" spans="1:4" x14ac:dyDescent="0.2">
      <c r="B5" s="95" t="s">
        <v>95</v>
      </c>
      <c r="C5" s="96" t="s">
        <v>94</v>
      </c>
      <c r="D5" s="97" t="s">
        <v>94</v>
      </c>
    </row>
    <row r="6" spans="1:4" x14ac:dyDescent="0.2">
      <c r="A6" s="135" t="s">
        <v>181</v>
      </c>
      <c r="B6" s="91" t="s">
        <v>0</v>
      </c>
      <c r="C6" s="157">
        <v>66.86</v>
      </c>
      <c r="D6" s="158">
        <v>66.86</v>
      </c>
    </row>
    <row r="7" spans="1:4" x14ac:dyDescent="0.2">
      <c r="A7" s="135" t="s">
        <v>182</v>
      </c>
      <c r="B7" s="3" t="s">
        <v>2</v>
      </c>
      <c r="C7" s="157">
        <v>42.09</v>
      </c>
      <c r="D7" s="158">
        <v>42.089999999999996</v>
      </c>
    </row>
    <row r="8" spans="1:4" x14ac:dyDescent="0.2">
      <c r="A8" s="135" t="s">
        <v>183</v>
      </c>
      <c r="B8" s="91" t="s">
        <v>3</v>
      </c>
      <c r="C8" s="157">
        <v>33.83</v>
      </c>
      <c r="D8" s="158">
        <v>33.83</v>
      </c>
    </row>
    <row r="9" spans="1:4" x14ac:dyDescent="0.2">
      <c r="B9" s="98" t="s">
        <v>96</v>
      </c>
      <c r="C9" s="143"/>
      <c r="D9" s="99" t="s">
        <v>94</v>
      </c>
    </row>
    <row r="10" spans="1:4" x14ac:dyDescent="0.2">
      <c r="B10" s="84" t="s">
        <v>10</v>
      </c>
      <c r="C10" s="159">
        <v>8.68</v>
      </c>
      <c r="D10" s="158">
        <v>8.9899999999999984</v>
      </c>
    </row>
    <row r="11" spans="1:4" x14ac:dyDescent="0.2">
      <c r="B11" s="85" t="s">
        <v>97</v>
      </c>
      <c r="C11" s="159">
        <v>1.1200000000000001</v>
      </c>
      <c r="D11" s="158">
        <v>1.1200000000000001</v>
      </c>
    </row>
    <row r="12" spans="1:4" x14ac:dyDescent="0.2">
      <c r="B12" s="98" t="s">
        <v>98</v>
      </c>
      <c r="C12" s="145"/>
      <c r="D12" s="93" t="s">
        <v>94</v>
      </c>
    </row>
    <row r="13" spans="1:4" x14ac:dyDescent="0.2">
      <c r="B13" s="3" t="s">
        <v>4</v>
      </c>
      <c r="C13" s="159">
        <v>2358.1999999999998</v>
      </c>
      <c r="D13" s="160">
        <v>2387.0500000000002</v>
      </c>
    </row>
    <row r="14" spans="1:4" x14ac:dyDescent="0.2">
      <c r="B14" s="25" t="s">
        <v>5</v>
      </c>
      <c r="C14" s="159">
        <v>2078.42</v>
      </c>
      <c r="D14" s="160">
        <v>2122.0700000000002</v>
      </c>
    </row>
    <row r="15" spans="1:4" x14ac:dyDescent="0.2">
      <c r="B15" s="98" t="s">
        <v>99</v>
      </c>
      <c r="C15" s="145"/>
      <c r="D15" s="93" t="s">
        <v>94</v>
      </c>
    </row>
    <row r="16" spans="1:4" x14ac:dyDescent="0.2">
      <c r="B16" s="84" t="s">
        <v>10</v>
      </c>
      <c r="C16" s="159">
        <v>587.83000000000004</v>
      </c>
      <c r="D16" s="158">
        <v>625.45000000000005</v>
      </c>
    </row>
    <row r="17" spans="1:4" ht="51" x14ac:dyDescent="0.2">
      <c r="B17" s="85" t="s">
        <v>100</v>
      </c>
      <c r="C17" s="159"/>
      <c r="D17" s="161" t="s">
        <v>101</v>
      </c>
    </row>
    <row r="18" spans="1:4" x14ac:dyDescent="0.2">
      <c r="B18" s="85" t="s">
        <v>94</v>
      </c>
      <c r="C18" s="159"/>
      <c r="D18" s="161" t="s">
        <v>94</v>
      </c>
    </row>
    <row r="19" spans="1:4" x14ac:dyDescent="0.2">
      <c r="B19" s="98" t="s">
        <v>102</v>
      </c>
      <c r="C19" s="145"/>
      <c r="D19" s="93" t="s">
        <v>94</v>
      </c>
    </row>
    <row r="20" spans="1:4" ht="14.25" x14ac:dyDescent="0.2">
      <c r="B20" s="84" t="s">
        <v>103</v>
      </c>
      <c r="C20" s="159">
        <v>8.85</v>
      </c>
      <c r="D20" s="158">
        <v>9.1</v>
      </c>
    </row>
    <row r="21" spans="1:4" ht="14.25" x14ac:dyDescent="0.2">
      <c r="B21" s="84" t="s">
        <v>104</v>
      </c>
      <c r="C21" s="159">
        <v>9.1</v>
      </c>
      <c r="D21" s="158">
        <v>9.35</v>
      </c>
    </row>
    <row r="22" spans="1:4" x14ac:dyDescent="0.2">
      <c r="B22" s="84" t="s">
        <v>94</v>
      </c>
      <c r="C22" s="159"/>
      <c r="D22" s="161" t="s">
        <v>94</v>
      </c>
    </row>
    <row r="23" spans="1:4" ht="25.5" x14ac:dyDescent="0.2">
      <c r="B23" s="92" t="s">
        <v>105</v>
      </c>
      <c r="C23" s="145"/>
      <c r="D23" s="93" t="s">
        <v>94</v>
      </c>
    </row>
    <row r="24" spans="1:4" x14ac:dyDescent="0.2">
      <c r="B24" s="86" t="s">
        <v>94</v>
      </c>
      <c r="C24" s="159"/>
      <c r="D24" s="161" t="s">
        <v>94</v>
      </c>
    </row>
    <row r="25" spans="1:4" x14ac:dyDescent="0.2">
      <c r="B25" s="83" t="s">
        <v>106</v>
      </c>
      <c r="C25" s="159"/>
      <c r="D25" s="161" t="s">
        <v>94</v>
      </c>
    </row>
    <row r="26" spans="1:4" ht="14.25" x14ac:dyDescent="0.2">
      <c r="B26" s="84" t="s">
        <v>103</v>
      </c>
      <c r="C26" s="159">
        <v>8.85</v>
      </c>
      <c r="D26" s="162">
        <v>9.1</v>
      </c>
    </row>
    <row r="27" spans="1:4" ht="14.25" x14ac:dyDescent="0.2">
      <c r="B27" s="84" t="s">
        <v>107</v>
      </c>
      <c r="C27" s="159">
        <v>9.1</v>
      </c>
      <c r="D27" s="162">
        <v>9.35</v>
      </c>
    </row>
    <row r="28" spans="1:4" x14ac:dyDescent="0.2">
      <c r="B28" s="83" t="s">
        <v>108</v>
      </c>
      <c r="C28" s="159"/>
      <c r="D28" s="161" t="s">
        <v>94</v>
      </c>
    </row>
    <row r="29" spans="1:4" x14ac:dyDescent="0.2">
      <c r="A29" s="154" t="s">
        <v>121</v>
      </c>
      <c r="B29" s="23" t="s">
        <v>156</v>
      </c>
      <c r="C29" s="159">
        <v>2200</v>
      </c>
      <c r="D29" s="163">
        <v>2200</v>
      </c>
    </row>
    <row r="30" spans="1:4" x14ac:dyDescent="0.2">
      <c r="A30" s="154" t="s">
        <v>122</v>
      </c>
      <c r="B30" s="83" t="s">
        <v>155</v>
      </c>
      <c r="C30" s="159">
        <v>50.77</v>
      </c>
      <c r="D30" s="162">
        <v>51.08</v>
      </c>
    </row>
    <row r="31" spans="1:4" x14ac:dyDescent="0.2">
      <c r="B31" s="83" t="s">
        <v>109</v>
      </c>
      <c r="C31" s="159"/>
      <c r="D31" s="161" t="s">
        <v>94</v>
      </c>
    </row>
    <row r="32" spans="1:4" x14ac:dyDescent="0.2">
      <c r="B32" s="84" t="s">
        <v>157</v>
      </c>
      <c r="C32" s="159">
        <v>75.540000000000006</v>
      </c>
      <c r="D32" s="158">
        <v>75.849999999999994</v>
      </c>
    </row>
    <row r="33" spans="1:4" x14ac:dyDescent="0.2">
      <c r="B33" s="84" t="s">
        <v>158</v>
      </c>
      <c r="C33" s="159">
        <v>50.77</v>
      </c>
      <c r="D33" s="158">
        <v>51.08</v>
      </c>
    </row>
    <row r="34" spans="1:4" x14ac:dyDescent="0.2">
      <c r="B34" s="83" t="s">
        <v>187</v>
      </c>
      <c r="C34" s="164"/>
      <c r="D34" s="158" t="s">
        <v>94</v>
      </c>
    </row>
    <row r="35" spans="1:4" ht="14.25" x14ac:dyDescent="0.2">
      <c r="B35" s="84" t="s">
        <v>188</v>
      </c>
      <c r="C35" s="164"/>
      <c r="D35" s="158" t="s">
        <v>94</v>
      </c>
    </row>
    <row r="36" spans="1:4" ht="14.25" x14ac:dyDescent="0.2">
      <c r="B36" s="84" t="s">
        <v>107</v>
      </c>
      <c r="C36" s="164"/>
      <c r="D36" s="158" t="s">
        <v>94</v>
      </c>
    </row>
    <row r="37" spans="1:4" x14ac:dyDescent="0.2">
      <c r="B37" s="84" t="s">
        <v>189</v>
      </c>
      <c r="C37" s="164"/>
      <c r="D37" s="158" t="s">
        <v>94</v>
      </c>
    </row>
    <row r="38" spans="1:4" ht="14.25" x14ac:dyDescent="0.2">
      <c r="B38" s="84" t="s">
        <v>188</v>
      </c>
      <c r="C38" s="164"/>
      <c r="D38" s="158" t="s">
        <v>94</v>
      </c>
    </row>
    <row r="39" spans="1:4" ht="14.25" x14ac:dyDescent="0.2">
      <c r="B39" s="84" t="s">
        <v>107</v>
      </c>
      <c r="C39" s="164"/>
      <c r="D39" s="158" t="s">
        <v>94</v>
      </c>
    </row>
    <row r="40" spans="1:4" x14ac:dyDescent="0.2">
      <c r="B40" s="84" t="s">
        <v>190</v>
      </c>
      <c r="C40" s="164"/>
      <c r="D40" s="158" t="s">
        <v>94</v>
      </c>
    </row>
    <row r="41" spans="1:4" ht="14.25" x14ac:dyDescent="0.2">
      <c r="B41" s="84" t="s">
        <v>188</v>
      </c>
      <c r="C41" s="164"/>
      <c r="D41" s="158" t="s">
        <v>94</v>
      </c>
    </row>
    <row r="42" spans="1:4" ht="14.25" x14ac:dyDescent="0.2">
      <c r="B42" s="84" t="s">
        <v>107</v>
      </c>
      <c r="C42" s="164"/>
      <c r="D42" s="158" t="s">
        <v>94</v>
      </c>
    </row>
    <row r="43" spans="1:4" x14ac:dyDescent="0.2">
      <c r="A43" s="155" t="s">
        <v>110</v>
      </c>
      <c r="B43" s="40" t="s">
        <v>165</v>
      </c>
      <c r="C43" s="159">
        <v>3.72</v>
      </c>
      <c r="D43" s="158">
        <v>3.87</v>
      </c>
    </row>
    <row r="44" spans="1:4" x14ac:dyDescent="0.2">
      <c r="B44" s="83" t="s">
        <v>111</v>
      </c>
      <c r="C44" s="159">
        <v>2358.1999999999998</v>
      </c>
      <c r="D44" s="158">
        <v>2387.0500000000002</v>
      </c>
    </row>
    <row r="45" spans="1:4" x14ac:dyDescent="0.2">
      <c r="B45" s="87" t="s">
        <v>94</v>
      </c>
      <c r="C45" s="165"/>
      <c r="D45" s="166" t="s">
        <v>94</v>
      </c>
    </row>
    <row r="46" spans="1:4" ht="18" x14ac:dyDescent="0.25">
      <c r="B46" s="425" t="s">
        <v>112</v>
      </c>
      <c r="C46" s="426"/>
      <c r="D46" s="426"/>
    </row>
    <row r="47" spans="1:4" ht="15.75" x14ac:dyDescent="0.2">
      <c r="B47" s="90" t="s">
        <v>94</v>
      </c>
      <c r="C47" s="89" t="s">
        <v>120</v>
      </c>
      <c r="D47" s="82" t="s">
        <v>119</v>
      </c>
    </row>
    <row r="48" spans="1:4" x14ac:dyDescent="0.2">
      <c r="B48" s="98" t="s">
        <v>95</v>
      </c>
      <c r="C48" s="100" t="s">
        <v>94</v>
      </c>
      <c r="D48" s="101" t="s">
        <v>94</v>
      </c>
    </row>
    <row r="49" spans="1:4" x14ac:dyDescent="0.2">
      <c r="A49" s="135" t="s">
        <v>177</v>
      </c>
      <c r="B49" s="84" t="s">
        <v>0</v>
      </c>
      <c r="C49" s="167">
        <v>64</v>
      </c>
      <c r="D49" s="158">
        <v>64</v>
      </c>
    </row>
    <row r="50" spans="1:4" x14ac:dyDescent="0.2">
      <c r="A50" s="135" t="s">
        <v>178</v>
      </c>
      <c r="B50" s="84" t="s">
        <v>2</v>
      </c>
      <c r="C50" s="167">
        <v>40.299999999999997</v>
      </c>
      <c r="D50" s="158">
        <v>40.299999999999997</v>
      </c>
    </row>
    <row r="51" spans="1:4" x14ac:dyDescent="0.2">
      <c r="A51" s="135" t="s">
        <v>179</v>
      </c>
      <c r="B51" s="84" t="s">
        <v>3</v>
      </c>
      <c r="C51" s="167">
        <v>32.4</v>
      </c>
      <c r="D51" s="158">
        <v>32.4</v>
      </c>
    </row>
    <row r="52" spans="1:4" x14ac:dyDescent="0.2">
      <c r="B52" s="98" t="s">
        <v>96</v>
      </c>
      <c r="C52" s="145"/>
      <c r="D52" s="99" t="s">
        <v>94</v>
      </c>
    </row>
    <row r="53" spans="1:4" x14ac:dyDescent="0.2">
      <c r="A53" s="153" t="str">
        <f>_xlfn.CONCAT(LEFT($B$52,20)," - ",B53)</f>
        <v>Services auxiliaires - Volet A</v>
      </c>
      <c r="B53" s="84" t="s">
        <v>10</v>
      </c>
      <c r="C53" s="159">
        <v>8.68</v>
      </c>
      <c r="D53" s="158">
        <v>8.9899999999999984</v>
      </c>
    </row>
    <row r="54" spans="1:4" x14ac:dyDescent="0.2">
      <c r="A54" s="153" t="str">
        <f>_xlfn.CONCAT(LEFT($B$52,20)," - ",LEFT(B54,7))</f>
        <v>Services auxiliaires - Volet B</v>
      </c>
      <c r="B54" s="84" t="s">
        <v>113</v>
      </c>
      <c r="C54" s="159">
        <v>1.1200000000000001</v>
      </c>
      <c r="D54" s="158">
        <v>1.1200000000000001</v>
      </c>
    </row>
    <row r="55" spans="1:4" x14ac:dyDescent="0.2">
      <c r="B55" s="98" t="s">
        <v>114</v>
      </c>
      <c r="C55" s="145"/>
      <c r="D55" s="99" t="s">
        <v>94</v>
      </c>
    </row>
    <row r="56" spans="1:4" x14ac:dyDescent="0.2">
      <c r="A56" s="153" t="s">
        <v>4</v>
      </c>
      <c r="B56" s="84" t="s">
        <v>4</v>
      </c>
      <c r="C56" s="159">
        <v>2358.1999999999998</v>
      </c>
      <c r="D56" s="158">
        <v>2387.0500000000002</v>
      </c>
    </row>
    <row r="57" spans="1:4" x14ac:dyDescent="0.2">
      <c r="A57" s="153" t="s">
        <v>5</v>
      </c>
      <c r="B57" s="25" t="s">
        <v>5</v>
      </c>
      <c r="C57" s="159">
        <v>2078.42</v>
      </c>
      <c r="D57" s="158">
        <v>2122.0700000000002</v>
      </c>
    </row>
    <row r="58" spans="1:4" x14ac:dyDescent="0.2">
      <c r="B58" s="98" t="s">
        <v>99</v>
      </c>
      <c r="C58" s="145"/>
      <c r="D58" s="93" t="s">
        <v>94</v>
      </c>
    </row>
    <row r="59" spans="1:4" x14ac:dyDescent="0.2">
      <c r="B59" s="88" t="s">
        <v>151</v>
      </c>
      <c r="C59" s="159">
        <v>822.98</v>
      </c>
      <c r="D59" s="168">
        <v>875.65</v>
      </c>
    </row>
    <row r="60" spans="1:4" x14ac:dyDescent="0.2">
      <c r="B60" s="98" t="s">
        <v>102</v>
      </c>
      <c r="C60" s="145"/>
      <c r="D60" s="93" t="s">
        <v>94</v>
      </c>
    </row>
    <row r="61" spans="1:4" ht="14.25" x14ac:dyDescent="0.2">
      <c r="B61" s="84" t="s">
        <v>103</v>
      </c>
      <c r="C61" s="159">
        <v>8.85</v>
      </c>
      <c r="D61" s="162">
        <v>9.1</v>
      </c>
    </row>
    <row r="62" spans="1:4" ht="14.25" x14ac:dyDescent="0.2">
      <c r="B62" s="84" t="s">
        <v>104</v>
      </c>
      <c r="C62" s="159">
        <v>9.1</v>
      </c>
      <c r="D62" s="162">
        <v>9.35</v>
      </c>
    </row>
    <row r="63" spans="1:4" x14ac:dyDescent="0.2">
      <c r="B63" s="84" t="s">
        <v>94</v>
      </c>
      <c r="C63" s="159"/>
      <c r="D63" s="161" t="s">
        <v>94</v>
      </c>
    </row>
    <row r="64" spans="1:4" ht="25.5" x14ac:dyDescent="0.2">
      <c r="B64" s="92" t="s">
        <v>115</v>
      </c>
      <c r="C64" s="145"/>
      <c r="D64" s="93" t="s">
        <v>94</v>
      </c>
    </row>
    <row r="65" spans="1:4" x14ac:dyDescent="0.2">
      <c r="B65" s="86" t="s">
        <v>94</v>
      </c>
      <c r="C65" s="159"/>
      <c r="D65" s="161" t="s">
        <v>94</v>
      </c>
    </row>
    <row r="66" spans="1:4" x14ac:dyDescent="0.2">
      <c r="B66" s="83" t="s">
        <v>116</v>
      </c>
      <c r="C66" s="159"/>
      <c r="D66" s="161" t="s">
        <v>94</v>
      </c>
    </row>
    <row r="67" spans="1:4" ht="14.25" x14ac:dyDescent="0.2">
      <c r="B67" s="84" t="s">
        <v>103</v>
      </c>
      <c r="C67" s="159">
        <v>8.85</v>
      </c>
      <c r="D67" s="162">
        <v>9.1</v>
      </c>
    </row>
    <row r="68" spans="1:4" ht="14.25" x14ac:dyDescent="0.2">
      <c r="B68" s="84" t="s">
        <v>107</v>
      </c>
      <c r="C68" s="159">
        <v>9.1</v>
      </c>
      <c r="D68" s="162">
        <v>9.35</v>
      </c>
    </row>
    <row r="69" spans="1:4" x14ac:dyDescent="0.2">
      <c r="A69" s="154" t="s">
        <v>121</v>
      </c>
      <c r="B69" s="23" t="s">
        <v>156</v>
      </c>
      <c r="C69" s="159">
        <v>2200</v>
      </c>
      <c r="D69" s="163">
        <v>2200</v>
      </c>
    </row>
    <row r="70" spans="1:4" x14ac:dyDescent="0.2">
      <c r="A70" s="154" t="s">
        <v>122</v>
      </c>
      <c r="B70" s="83" t="s">
        <v>155</v>
      </c>
      <c r="C70" s="159">
        <v>48.98</v>
      </c>
      <c r="D70" s="158">
        <v>49.289999999999992</v>
      </c>
    </row>
    <row r="71" spans="1:4" x14ac:dyDescent="0.2">
      <c r="B71" s="83" t="s">
        <v>109</v>
      </c>
      <c r="C71" s="159"/>
      <c r="D71" s="158" t="s">
        <v>94</v>
      </c>
    </row>
    <row r="72" spans="1:4" x14ac:dyDescent="0.2">
      <c r="B72" s="84" t="s">
        <v>157</v>
      </c>
      <c r="C72" s="159">
        <v>72.680000000000007</v>
      </c>
      <c r="D72" s="158">
        <v>72.989999999999995</v>
      </c>
    </row>
    <row r="73" spans="1:4" x14ac:dyDescent="0.2">
      <c r="B73" s="63" t="s">
        <v>158</v>
      </c>
      <c r="C73" s="159">
        <v>48.98</v>
      </c>
      <c r="D73" s="158">
        <v>49.289999999999992</v>
      </c>
    </row>
    <row r="74" spans="1:4" x14ac:dyDescent="0.2">
      <c r="B74" s="83" t="s">
        <v>191</v>
      </c>
      <c r="C74" s="159"/>
      <c r="D74" s="161" t="s">
        <v>94</v>
      </c>
    </row>
    <row r="75" spans="1:4" ht="14.25" x14ac:dyDescent="0.2">
      <c r="B75" s="84" t="s">
        <v>188</v>
      </c>
      <c r="C75" s="159"/>
      <c r="D75" s="161" t="s">
        <v>94</v>
      </c>
    </row>
    <row r="76" spans="1:4" ht="14.25" x14ac:dyDescent="0.2">
      <c r="B76" s="84" t="s">
        <v>107</v>
      </c>
      <c r="C76" s="159"/>
      <c r="D76" s="161" t="s">
        <v>94</v>
      </c>
    </row>
    <row r="77" spans="1:4" x14ac:dyDescent="0.2">
      <c r="B77" s="84" t="s">
        <v>117</v>
      </c>
      <c r="C77" s="159"/>
      <c r="D77" s="161" t="s">
        <v>94</v>
      </c>
    </row>
    <row r="78" spans="1:4" ht="14.25" x14ac:dyDescent="0.2">
      <c r="B78" s="84" t="s">
        <v>192</v>
      </c>
      <c r="C78" s="159"/>
      <c r="D78" s="161" t="s">
        <v>94</v>
      </c>
    </row>
    <row r="79" spans="1:4" ht="14.25" x14ac:dyDescent="0.2">
      <c r="B79" s="84" t="s">
        <v>107</v>
      </c>
      <c r="C79" s="159"/>
      <c r="D79" s="161" t="s">
        <v>94</v>
      </c>
    </row>
    <row r="80" spans="1:4" x14ac:dyDescent="0.2">
      <c r="B80" s="84" t="s">
        <v>118</v>
      </c>
      <c r="C80" s="159"/>
      <c r="D80" s="161" t="s">
        <v>94</v>
      </c>
    </row>
    <row r="81" spans="1:4" ht="14.25" x14ac:dyDescent="0.2">
      <c r="B81" s="84" t="s">
        <v>192</v>
      </c>
      <c r="C81" s="159"/>
      <c r="D81" s="161" t="s">
        <v>94</v>
      </c>
    </row>
    <row r="82" spans="1:4" ht="14.25" x14ac:dyDescent="0.2">
      <c r="B82" s="84" t="s">
        <v>107</v>
      </c>
      <c r="C82" s="159"/>
      <c r="D82" s="161" t="s">
        <v>94</v>
      </c>
    </row>
    <row r="83" spans="1:4" x14ac:dyDescent="0.2">
      <c r="A83" s="155" t="s">
        <v>110</v>
      </c>
      <c r="B83" s="40" t="s">
        <v>164</v>
      </c>
      <c r="C83" s="159">
        <v>3.72</v>
      </c>
      <c r="D83" s="158">
        <v>3.87</v>
      </c>
    </row>
    <row r="84" spans="1:4" x14ac:dyDescent="0.2">
      <c r="B84" s="94" t="s">
        <v>111</v>
      </c>
      <c r="C84" s="169">
        <v>2358.1999999999998</v>
      </c>
      <c r="D84" s="170">
        <v>2387.0500000000002</v>
      </c>
    </row>
    <row r="85" spans="1:4" ht="27" customHeight="1" x14ac:dyDescent="0.2">
      <c r="B85" s="131" t="s">
        <v>123</v>
      </c>
      <c r="C85" s="132"/>
      <c r="D85" s="133"/>
    </row>
    <row r="86" spans="1:4" ht="27" customHeight="1" x14ac:dyDescent="0.2">
      <c r="B86" s="126" t="s">
        <v>124</v>
      </c>
      <c r="C86" s="127"/>
      <c r="D86" s="127"/>
    </row>
    <row r="87" spans="1:4" x14ac:dyDescent="0.2">
      <c r="B87" s="102" t="s">
        <v>76</v>
      </c>
      <c r="C87" s="105">
        <v>1.6</v>
      </c>
      <c r="D87" s="105">
        <v>1.6</v>
      </c>
    </row>
    <row r="88" spans="1:4" x14ac:dyDescent="0.2">
      <c r="B88" s="102" t="s">
        <v>13</v>
      </c>
      <c r="C88" s="105">
        <v>1</v>
      </c>
      <c r="D88" s="105">
        <v>1</v>
      </c>
    </row>
    <row r="89" spans="1:4" x14ac:dyDescent="0.2">
      <c r="B89" s="102" t="s">
        <v>77</v>
      </c>
      <c r="C89" s="105">
        <v>0.8</v>
      </c>
      <c r="D89" s="105">
        <v>0.8</v>
      </c>
    </row>
    <row r="90" spans="1:4" ht="21" customHeight="1" x14ac:dyDescent="0.2">
      <c r="B90" s="128" t="s">
        <v>126</v>
      </c>
      <c r="C90" s="129"/>
      <c r="D90" s="130"/>
    </row>
    <row r="91" spans="1:4" ht="15" customHeight="1" x14ac:dyDescent="0.2">
      <c r="B91" s="109" t="s">
        <v>125</v>
      </c>
      <c r="C91" s="129"/>
      <c r="D91" s="130"/>
    </row>
    <row r="92" spans="1:4" x14ac:dyDescent="0.2">
      <c r="B92" s="103" t="s">
        <v>19</v>
      </c>
      <c r="C92" s="116">
        <v>26.62</v>
      </c>
      <c r="D92" s="106">
        <v>26.62</v>
      </c>
    </row>
    <row r="93" spans="1:4" x14ac:dyDescent="0.2">
      <c r="B93" s="50" t="s">
        <v>128</v>
      </c>
      <c r="C93" s="114">
        <v>1.51</v>
      </c>
      <c r="D93" s="115">
        <v>1.5088999999999999</v>
      </c>
    </row>
    <row r="94" spans="1:4" x14ac:dyDescent="0.2">
      <c r="B94" s="50" t="s">
        <v>129</v>
      </c>
      <c r="C94" s="114">
        <v>1.0111000000000001</v>
      </c>
      <c r="D94" s="114">
        <v>1.0103</v>
      </c>
    </row>
    <row r="95" spans="1:4" x14ac:dyDescent="0.2">
      <c r="B95" s="107" t="s">
        <v>89</v>
      </c>
      <c r="C95" s="108">
        <v>-2.5</v>
      </c>
      <c r="D95" s="112">
        <v>-2.5</v>
      </c>
    </row>
    <row r="96" spans="1:4" x14ac:dyDescent="0.2">
      <c r="B96" s="110" t="s">
        <v>132</v>
      </c>
      <c r="C96" s="104"/>
      <c r="D96" s="106"/>
    </row>
    <row r="97" spans="2:4" x14ac:dyDescent="0.2">
      <c r="B97" s="69" t="s">
        <v>149</v>
      </c>
      <c r="C97" s="117">
        <v>0.15</v>
      </c>
      <c r="D97" s="117">
        <v>0.15</v>
      </c>
    </row>
    <row r="98" spans="2:4" x14ac:dyDescent="0.2">
      <c r="B98" s="63" t="s">
        <v>133</v>
      </c>
      <c r="C98" s="117">
        <v>1</v>
      </c>
      <c r="D98" s="117">
        <v>1</v>
      </c>
    </row>
    <row r="99" spans="2:4" x14ac:dyDescent="0.2">
      <c r="B99" s="63" t="s">
        <v>150</v>
      </c>
      <c r="C99" s="117">
        <v>0.7</v>
      </c>
      <c r="D99" s="117">
        <v>0.7</v>
      </c>
    </row>
    <row r="100" spans="2:4" x14ac:dyDescent="0.2">
      <c r="B100" s="111" t="s">
        <v>282</v>
      </c>
      <c r="C100" s="115">
        <v>-4.0899999999999999E-2</v>
      </c>
      <c r="D100" s="115">
        <v>-4.0899999999999999E-2</v>
      </c>
    </row>
    <row r="101" spans="2:4" x14ac:dyDescent="0.2">
      <c r="B101" s="110" t="s">
        <v>127</v>
      </c>
      <c r="C101" s="104"/>
      <c r="D101" s="106"/>
    </row>
    <row r="102" spans="2:4" x14ac:dyDescent="0.2">
      <c r="B102" s="75" t="s">
        <v>146</v>
      </c>
      <c r="C102" s="115">
        <v>0.33339999999999997</v>
      </c>
      <c r="D102" s="115">
        <v>0.33339999999999997</v>
      </c>
    </row>
    <row r="103" spans="2:4" x14ac:dyDescent="0.2">
      <c r="B103" s="63" t="s">
        <v>145</v>
      </c>
      <c r="C103" s="117">
        <v>0.2</v>
      </c>
      <c r="D103" s="117">
        <v>0.2</v>
      </c>
    </row>
    <row r="104" spans="2:4" x14ac:dyDescent="0.2">
      <c r="B104" s="110" t="s">
        <v>29</v>
      </c>
      <c r="C104" s="104"/>
      <c r="D104" s="106"/>
    </row>
    <row r="105" spans="2:4" x14ac:dyDescent="0.2">
      <c r="B105" s="69" t="s">
        <v>147</v>
      </c>
      <c r="C105" s="113">
        <v>1.02</v>
      </c>
      <c r="D105" s="118">
        <v>1.02</v>
      </c>
    </row>
    <row r="106" spans="2:4" x14ac:dyDescent="0.2">
      <c r="B106" s="75" t="s">
        <v>148</v>
      </c>
      <c r="C106" s="117">
        <v>0.4</v>
      </c>
      <c r="D106" s="117">
        <v>0.4</v>
      </c>
    </row>
    <row r="107" spans="2:4" ht="21" customHeight="1" x14ac:dyDescent="0.2">
      <c r="B107" s="134" t="s">
        <v>130</v>
      </c>
      <c r="C107" s="145"/>
      <c r="D107" s="145"/>
    </row>
    <row r="108" spans="2:4" x14ac:dyDescent="0.2">
      <c r="B108" s="45" t="s">
        <v>266</v>
      </c>
      <c r="C108" s="146">
        <v>1790</v>
      </c>
      <c r="D108" s="144">
        <v>1886</v>
      </c>
    </row>
    <row r="109" spans="2:4" x14ac:dyDescent="0.2">
      <c r="B109" s="75" t="s">
        <v>40</v>
      </c>
      <c r="C109" s="103">
        <v>0.57999999999999996</v>
      </c>
      <c r="D109" s="103">
        <v>0.57999999999999996</v>
      </c>
    </row>
    <row r="110" spans="2:4" x14ac:dyDescent="0.2">
      <c r="B110" s="63" t="s">
        <v>41</v>
      </c>
      <c r="C110" s="103">
        <v>1.39</v>
      </c>
      <c r="D110" s="103">
        <v>1.39</v>
      </c>
    </row>
    <row r="111" spans="2:4" x14ac:dyDescent="0.2">
      <c r="B111" s="103" t="s">
        <v>35</v>
      </c>
      <c r="C111" s="144">
        <v>15275</v>
      </c>
      <c r="D111" s="144">
        <v>16252</v>
      </c>
    </row>
    <row r="112" spans="2:4" ht="21.75" customHeight="1" x14ac:dyDescent="0.2">
      <c r="B112" s="134" t="s">
        <v>131</v>
      </c>
      <c r="C112" s="143"/>
      <c r="D112" s="143"/>
    </row>
    <row r="113" spans="2:4" ht="17.25" customHeight="1" x14ac:dyDescent="0.2">
      <c r="B113" s="119" t="s">
        <v>134</v>
      </c>
      <c r="C113" s="103"/>
      <c r="D113" s="103"/>
    </row>
    <row r="114" spans="2:4" x14ac:dyDescent="0.2">
      <c r="B114" s="103" t="s">
        <v>135</v>
      </c>
      <c r="C114" s="146">
        <v>18810.560000000001</v>
      </c>
      <c r="D114" s="146">
        <v>20014.400000000001</v>
      </c>
    </row>
    <row r="115" spans="2:4" x14ac:dyDescent="0.2">
      <c r="B115" s="120" t="s">
        <v>136</v>
      </c>
      <c r="C115" s="103"/>
      <c r="D115" s="103"/>
    </row>
    <row r="116" spans="2:4" x14ac:dyDescent="0.2">
      <c r="B116" s="103" t="s">
        <v>137</v>
      </c>
      <c r="C116" s="147">
        <v>6.4600000000000005E-2</v>
      </c>
      <c r="D116" s="147">
        <v>6.4000000000000001E-2</v>
      </c>
    </row>
    <row r="117" spans="2:4" x14ac:dyDescent="0.2">
      <c r="B117" s="103" t="s">
        <v>142</v>
      </c>
      <c r="C117" s="121"/>
      <c r="D117" s="121"/>
    </row>
    <row r="118" spans="2:4" x14ac:dyDescent="0.2">
      <c r="B118" s="9" t="s">
        <v>15</v>
      </c>
      <c r="C118" s="122">
        <v>1941</v>
      </c>
      <c r="D118" s="122">
        <v>2065</v>
      </c>
    </row>
    <row r="119" spans="2:4" x14ac:dyDescent="0.2">
      <c r="B119" s="9" t="s">
        <v>138</v>
      </c>
      <c r="C119" s="122">
        <v>1665</v>
      </c>
      <c r="D119" s="122">
        <v>1772</v>
      </c>
    </row>
    <row r="120" spans="2:4" x14ac:dyDescent="0.2">
      <c r="B120" s="9" t="s">
        <v>139</v>
      </c>
      <c r="C120" s="122">
        <v>1665</v>
      </c>
      <c r="D120" s="122">
        <v>1772</v>
      </c>
    </row>
    <row r="121" spans="2:4" x14ac:dyDescent="0.2">
      <c r="B121" s="9" t="s">
        <v>140</v>
      </c>
      <c r="C121" s="122">
        <v>935</v>
      </c>
      <c r="D121" s="122">
        <v>995</v>
      </c>
    </row>
    <row r="122" spans="2:4" x14ac:dyDescent="0.2">
      <c r="B122" s="9" t="s">
        <v>141</v>
      </c>
      <c r="C122" s="122">
        <v>821</v>
      </c>
      <c r="D122" s="122">
        <v>874</v>
      </c>
    </row>
    <row r="123" spans="2:4" ht="21.75" customHeight="1" x14ac:dyDescent="0.2">
      <c r="B123" s="134" t="s">
        <v>24</v>
      </c>
      <c r="C123" s="143"/>
      <c r="D123" s="143"/>
    </row>
    <row r="124" spans="2:4" x14ac:dyDescent="0.2">
      <c r="B124" s="103" t="s">
        <v>45</v>
      </c>
      <c r="C124" s="148">
        <v>0.9</v>
      </c>
      <c r="D124" s="148">
        <v>0.9</v>
      </c>
    </row>
    <row r="125" spans="2:4" x14ac:dyDescent="0.2">
      <c r="B125" s="103" t="s">
        <v>46</v>
      </c>
      <c r="C125" s="148">
        <v>0.7</v>
      </c>
      <c r="D125" s="148">
        <v>0.7</v>
      </c>
    </row>
    <row r="126" spans="2:4" x14ac:dyDescent="0.2">
      <c r="B126" s="103" t="s">
        <v>152</v>
      </c>
      <c r="C126" s="148">
        <v>0.5</v>
      </c>
      <c r="D126" s="148">
        <v>0.5</v>
      </c>
    </row>
    <row r="127" spans="2:4" ht="23.25" customHeight="1" x14ac:dyDescent="0.2">
      <c r="B127" s="125" t="s">
        <v>143</v>
      </c>
      <c r="C127" s="143"/>
      <c r="D127" s="143"/>
    </row>
    <row r="128" spans="2:4" x14ac:dyDescent="0.2">
      <c r="B128" s="123" t="s">
        <v>47</v>
      </c>
      <c r="C128" s="103"/>
      <c r="D128" s="103"/>
    </row>
    <row r="129" spans="2:4" x14ac:dyDescent="0.2">
      <c r="B129" s="75" t="s">
        <v>160</v>
      </c>
      <c r="C129" s="148">
        <v>0.9</v>
      </c>
      <c r="D129" s="148">
        <v>0.9</v>
      </c>
    </row>
    <row r="130" spans="2:4" x14ac:dyDescent="0.2">
      <c r="B130" s="75" t="s">
        <v>159</v>
      </c>
      <c r="C130" s="148">
        <v>0.05</v>
      </c>
      <c r="D130" s="148">
        <v>0.05</v>
      </c>
    </row>
    <row r="131" spans="2:4" x14ac:dyDescent="0.2">
      <c r="B131" s="8" t="s">
        <v>161</v>
      </c>
      <c r="C131" s="103"/>
      <c r="D131" s="103"/>
    </row>
    <row r="132" spans="2:4" x14ac:dyDescent="0.2">
      <c r="B132" s="44" t="s">
        <v>51</v>
      </c>
      <c r="C132" s="148">
        <v>0.08</v>
      </c>
      <c r="D132" s="148">
        <v>0.08</v>
      </c>
    </row>
    <row r="133" spans="2:4" x14ac:dyDescent="0.2">
      <c r="B133" s="75" t="s">
        <v>52</v>
      </c>
      <c r="C133" s="148">
        <v>0.25</v>
      </c>
      <c r="D133" s="148">
        <v>0.25</v>
      </c>
    </row>
    <row r="134" spans="2:4" x14ac:dyDescent="0.2">
      <c r="B134" s="45" t="s">
        <v>49</v>
      </c>
      <c r="C134" s="148">
        <v>0.03</v>
      </c>
      <c r="D134" s="148">
        <v>0.03</v>
      </c>
    </row>
    <row r="135" spans="2:4" x14ac:dyDescent="0.2">
      <c r="B135" s="45" t="s">
        <v>50</v>
      </c>
      <c r="C135" s="147">
        <v>5.0000000000000001E-3</v>
      </c>
      <c r="D135" s="147">
        <v>5.0000000000000001E-3</v>
      </c>
    </row>
    <row r="136" spans="2:4" x14ac:dyDescent="0.2">
      <c r="B136" s="124" t="s">
        <v>54</v>
      </c>
      <c r="C136" s="103"/>
      <c r="D136" s="103"/>
    </row>
    <row r="137" spans="2:4" x14ac:dyDescent="0.2">
      <c r="B137" s="103" t="s">
        <v>162</v>
      </c>
      <c r="C137" s="148">
        <v>0.5</v>
      </c>
      <c r="D137" s="148">
        <v>0.5</v>
      </c>
    </row>
    <row r="138" spans="2:4" x14ac:dyDescent="0.2">
      <c r="B138" s="124" t="s">
        <v>144</v>
      </c>
      <c r="C138" s="103"/>
      <c r="D138" s="103"/>
    </row>
    <row r="139" spans="2:4" x14ac:dyDescent="0.2">
      <c r="B139" s="103" t="s">
        <v>56</v>
      </c>
      <c r="C139" s="148">
        <v>0.05</v>
      </c>
      <c r="D139" s="149">
        <v>0.05</v>
      </c>
    </row>
    <row r="140" spans="2:4" x14ac:dyDescent="0.2">
      <c r="B140" s="63" t="s">
        <v>57</v>
      </c>
      <c r="C140" s="144">
        <v>2358.1999999999998</v>
      </c>
      <c r="D140" s="136">
        <v>2387.0500000000002</v>
      </c>
    </row>
    <row r="141" spans="2:4" x14ac:dyDescent="0.2">
      <c r="B141" s="50" t="s">
        <v>163</v>
      </c>
      <c r="C141" s="103">
        <v>33</v>
      </c>
      <c r="D141" s="103">
        <v>33</v>
      </c>
    </row>
    <row r="142" spans="2:4" x14ac:dyDescent="0.2">
      <c r="B142" s="69"/>
      <c r="C142" s="103"/>
      <c r="D142" s="103"/>
    </row>
    <row r="143" spans="2:4" x14ac:dyDescent="0.2">
      <c r="B143" s="69"/>
      <c r="C143" s="103"/>
      <c r="D143" s="103"/>
    </row>
    <row r="144" spans="2:4" x14ac:dyDescent="0.2">
      <c r="B144" s="69"/>
      <c r="C144" s="103"/>
      <c r="D144" s="103"/>
    </row>
    <row r="145" spans="1:4" x14ac:dyDescent="0.2">
      <c r="B145" s="69"/>
      <c r="C145" s="103"/>
      <c r="D145" s="103"/>
    </row>
    <row r="146" spans="1:4" x14ac:dyDescent="0.2">
      <c r="B146" s="69"/>
      <c r="C146" s="103"/>
      <c r="D146" s="103"/>
    </row>
    <row r="147" spans="1:4" x14ac:dyDescent="0.2">
      <c r="B147" s="69"/>
      <c r="C147" s="103"/>
      <c r="D147" s="103"/>
    </row>
    <row r="148" spans="1:4" x14ac:dyDescent="0.2">
      <c r="B148" s="69"/>
      <c r="C148" s="103"/>
      <c r="D148" s="103"/>
    </row>
    <row r="149" spans="1:4" x14ac:dyDescent="0.2">
      <c r="B149" s="69"/>
      <c r="C149" s="103"/>
      <c r="D149" s="103"/>
    </row>
    <row r="150" spans="1:4" x14ac:dyDescent="0.2">
      <c r="B150" s="69"/>
      <c r="C150" s="103"/>
      <c r="D150" s="103"/>
    </row>
    <row r="151" spans="1:4" x14ac:dyDescent="0.2">
      <c r="B151" s="69"/>
      <c r="C151" s="103"/>
      <c r="D151" s="103"/>
    </row>
    <row r="152" spans="1:4" x14ac:dyDescent="0.2">
      <c r="B152" s="69"/>
      <c r="C152" s="103"/>
      <c r="D152" s="103"/>
    </row>
    <row r="153" spans="1:4" x14ac:dyDescent="0.2">
      <c r="A153" s="103" t="s">
        <v>173</v>
      </c>
      <c r="B153" s="103" t="s">
        <v>298</v>
      </c>
      <c r="C153" s="103" t="s">
        <v>201</v>
      </c>
      <c r="D153" s="103" t="s">
        <v>201</v>
      </c>
    </row>
    <row r="154" spans="1:4" x14ac:dyDescent="0.2">
      <c r="A154" s="103" t="s">
        <v>173</v>
      </c>
      <c r="B154" s="103" t="s">
        <v>299</v>
      </c>
      <c r="C154" s="103" t="s">
        <v>201</v>
      </c>
      <c r="D154" s="103" t="s">
        <v>201</v>
      </c>
    </row>
    <row r="155" spans="1:4" x14ac:dyDescent="0.2">
      <c r="B155" s="69"/>
      <c r="C155" s="103"/>
      <c r="D155" s="103"/>
    </row>
    <row r="156" spans="1:4" ht="14.25" x14ac:dyDescent="0.2">
      <c r="A156" s="69" t="s">
        <v>184</v>
      </c>
      <c r="B156" s="332" t="s">
        <v>297</v>
      </c>
      <c r="C156" s="103" t="s">
        <v>201</v>
      </c>
      <c r="D156" s="103" t="s">
        <v>201</v>
      </c>
    </row>
    <row r="157" spans="1:4" ht="14.25" x14ac:dyDescent="0.2">
      <c r="A157" s="69" t="s">
        <v>185</v>
      </c>
      <c r="B157" s="332" t="s">
        <v>206</v>
      </c>
      <c r="C157" s="103" t="s">
        <v>201</v>
      </c>
      <c r="D157" s="103" t="s">
        <v>201</v>
      </c>
    </row>
    <row r="158" spans="1:4" x14ac:dyDescent="0.2">
      <c r="A158" s="69" t="s">
        <v>186</v>
      </c>
      <c r="B158" s="332" t="s">
        <v>205</v>
      </c>
      <c r="C158" s="103" t="s">
        <v>201</v>
      </c>
      <c r="D158" s="103" t="s">
        <v>201</v>
      </c>
    </row>
    <row r="159" spans="1:4" x14ac:dyDescent="0.2">
      <c r="B159" s="333"/>
      <c r="C159" s="103"/>
      <c r="D159" s="103"/>
    </row>
    <row r="160" spans="1:4" x14ac:dyDescent="0.2">
      <c r="B160" s="69"/>
      <c r="C160" s="103"/>
      <c r="D160" s="103"/>
    </row>
    <row r="161" spans="1:4" x14ac:dyDescent="0.2">
      <c r="A161" s="69" t="s">
        <v>174</v>
      </c>
      <c r="B161" s="9" t="s">
        <v>15</v>
      </c>
      <c r="C161" s="103" t="s">
        <v>201</v>
      </c>
      <c r="D161" s="103" t="s">
        <v>201</v>
      </c>
    </row>
    <row r="162" spans="1:4" x14ac:dyDescent="0.2">
      <c r="A162" s="69" t="s">
        <v>174</v>
      </c>
      <c r="B162" s="9" t="s">
        <v>71</v>
      </c>
      <c r="C162" s="103" t="s">
        <v>201</v>
      </c>
      <c r="D162" s="103" t="s">
        <v>201</v>
      </c>
    </row>
    <row r="163" spans="1:4" x14ac:dyDescent="0.2">
      <c r="A163" s="69" t="s">
        <v>174</v>
      </c>
      <c r="B163" s="9" t="s">
        <v>16</v>
      </c>
      <c r="C163" s="103" t="s">
        <v>201</v>
      </c>
      <c r="D163" s="103" t="s">
        <v>201</v>
      </c>
    </row>
    <row r="164" spans="1:4" x14ac:dyDescent="0.2">
      <c r="A164" s="69" t="s">
        <v>174</v>
      </c>
      <c r="B164" s="9" t="s">
        <v>17</v>
      </c>
      <c r="C164" s="103" t="s">
        <v>201</v>
      </c>
      <c r="D164" s="103" t="s">
        <v>201</v>
      </c>
    </row>
    <row r="165" spans="1:4" x14ac:dyDescent="0.2">
      <c r="A165" s="69" t="s">
        <v>174</v>
      </c>
      <c r="B165" s="9" t="s">
        <v>18</v>
      </c>
      <c r="C165" s="103" t="s">
        <v>201</v>
      </c>
      <c r="D165" s="103" t="s">
        <v>201</v>
      </c>
    </row>
    <row r="166" spans="1:4" x14ac:dyDescent="0.2">
      <c r="B166" s="69"/>
      <c r="C166" s="103"/>
      <c r="D166" s="103"/>
    </row>
    <row r="167" spans="1:4" x14ac:dyDescent="0.2">
      <c r="B167" s="69"/>
      <c r="C167" s="103"/>
      <c r="D167" s="103"/>
    </row>
    <row r="168" spans="1:4" x14ac:dyDescent="0.2">
      <c r="B168" s="69"/>
      <c r="C168" s="103"/>
      <c r="D168" s="103"/>
    </row>
    <row r="169" spans="1:4" x14ac:dyDescent="0.2">
      <c r="B169" s="69"/>
      <c r="C169" s="103"/>
      <c r="D169" s="103"/>
    </row>
    <row r="170" spans="1:4" x14ac:dyDescent="0.2">
      <c r="B170" s="69"/>
      <c r="C170" s="103"/>
      <c r="D170" s="103"/>
    </row>
    <row r="171" spans="1:4" x14ac:dyDescent="0.2">
      <c r="B171" s="325" t="s">
        <v>170</v>
      </c>
      <c r="C171" s="326"/>
      <c r="D171" s="326"/>
    </row>
    <row r="172" spans="1:4" x14ac:dyDescent="0.2">
      <c r="B172" s="103"/>
      <c r="C172" s="103"/>
      <c r="D172" s="103"/>
    </row>
    <row r="173" spans="1:4" x14ac:dyDescent="0.2">
      <c r="B173" s="103" t="s">
        <v>168</v>
      </c>
      <c r="C173" s="151" t="str">
        <f>+LEFT(C$4,4)</f>
        <v>2023</v>
      </c>
      <c r="D173" s="151" t="str">
        <f>+LEFT(D$4,4)</f>
        <v>2024</v>
      </c>
    </row>
    <row r="174" spans="1:4" x14ac:dyDescent="0.2">
      <c r="B174" s="103" t="s">
        <v>169</v>
      </c>
      <c r="C174" s="151" t="str">
        <f>+RIGHT(C$4,4)</f>
        <v>2024</v>
      </c>
      <c r="D174" s="151" t="str">
        <f>+RIGHT(D$4,4)</f>
        <v>2025</v>
      </c>
    </row>
    <row r="175" spans="1:4" x14ac:dyDescent="0.2">
      <c r="B175" s="103" t="s">
        <v>72</v>
      </c>
      <c r="C175" s="151">
        <f>NETWORKDAYS(DATE(C173,4,1),DATE(C174,3,31))</f>
        <v>260</v>
      </c>
      <c r="D175" s="151">
        <f>NETWORKDAYS(DATE(D173,4,1),DATE(D174,3,31))</f>
        <v>261</v>
      </c>
    </row>
    <row r="176" spans="1:4" x14ac:dyDescent="0.2">
      <c r="B176" s="103"/>
      <c r="C176" s="151"/>
      <c r="D176" s="151"/>
    </row>
    <row r="177" spans="2:4" x14ac:dyDescent="0.2">
      <c r="B177" s="103"/>
      <c r="C177" s="151"/>
      <c r="D177" s="151"/>
    </row>
    <row r="178" spans="2:4" x14ac:dyDescent="0.2">
      <c r="B178" s="103"/>
      <c r="C178" s="151"/>
      <c r="D178" s="151"/>
    </row>
    <row r="179" spans="2:4" x14ac:dyDescent="0.2">
      <c r="B179" s="103"/>
      <c r="C179" s="151"/>
      <c r="D179" s="151"/>
    </row>
    <row r="180" spans="2:4" x14ac:dyDescent="0.2">
      <c r="B180" s="103"/>
      <c r="C180" s="151"/>
      <c r="D180" s="151"/>
    </row>
    <row r="181" spans="2:4" x14ac:dyDescent="0.2">
      <c r="B181" s="103"/>
      <c r="C181" s="103"/>
      <c r="D181" s="103"/>
    </row>
    <row r="182" spans="2:4" x14ac:dyDescent="0.2">
      <c r="B182" s="103"/>
      <c r="C182" s="103"/>
      <c r="D182" s="103"/>
    </row>
    <row r="183" spans="2:4" x14ac:dyDescent="0.2">
      <c r="B183" s="103"/>
      <c r="C183" s="103"/>
      <c r="D183" s="103"/>
    </row>
    <row r="184" spans="2:4" x14ac:dyDescent="0.2">
      <c r="B184" s="103"/>
      <c r="C184" s="103"/>
      <c r="D184" s="103"/>
    </row>
    <row r="185" spans="2:4" x14ac:dyDescent="0.2">
      <c r="B185" s="103"/>
      <c r="C185" s="103"/>
      <c r="D185" s="103"/>
    </row>
    <row r="186" spans="2:4" x14ac:dyDescent="0.2">
      <c r="B186" s="103"/>
      <c r="C186" s="103"/>
      <c r="D186" s="103"/>
    </row>
    <row r="187" spans="2:4" x14ac:dyDescent="0.2">
      <c r="B187" s="103"/>
      <c r="C187" s="103"/>
      <c r="D187" s="103"/>
    </row>
    <row r="188" spans="2:4" x14ac:dyDescent="0.2">
      <c r="B188" s="103"/>
      <c r="C188" s="103"/>
      <c r="D188" s="103"/>
    </row>
    <row r="189" spans="2:4" x14ac:dyDescent="0.2">
      <c r="B189" s="103"/>
      <c r="C189" s="103"/>
      <c r="D189" s="103"/>
    </row>
    <row r="190" spans="2:4" x14ac:dyDescent="0.2">
      <c r="B190" s="103"/>
      <c r="C190" s="103"/>
      <c r="D190" s="103"/>
    </row>
    <row r="191" spans="2:4" x14ac:dyDescent="0.2">
      <c r="B191" s="103"/>
      <c r="C191" s="103"/>
      <c r="D191" s="103"/>
    </row>
    <row r="192" spans="2:4" x14ac:dyDescent="0.2">
      <c r="B192" s="103"/>
      <c r="C192" s="103"/>
      <c r="D192" s="103"/>
    </row>
    <row r="193" spans="2:4" x14ac:dyDescent="0.2">
      <c r="B193" s="103"/>
      <c r="C193" s="103"/>
      <c r="D193" s="103"/>
    </row>
    <row r="194" spans="2:4" x14ac:dyDescent="0.2">
      <c r="B194" s="103"/>
      <c r="C194" s="103"/>
      <c r="D194" s="103"/>
    </row>
    <row r="195" spans="2:4" x14ac:dyDescent="0.2">
      <c r="B195" s="103"/>
      <c r="C195" s="103"/>
      <c r="D195" s="103"/>
    </row>
    <row r="196" spans="2:4" x14ac:dyDescent="0.2">
      <c r="B196" s="103"/>
      <c r="C196" s="103"/>
      <c r="D196" s="103"/>
    </row>
    <row r="197" spans="2:4" x14ac:dyDescent="0.2">
      <c r="B197" s="103"/>
      <c r="C197" s="103"/>
      <c r="D197" s="103"/>
    </row>
    <row r="198" spans="2:4" x14ac:dyDescent="0.2">
      <c r="B198" s="103"/>
      <c r="C198" s="103"/>
      <c r="D198" s="103"/>
    </row>
    <row r="199" spans="2:4" x14ac:dyDescent="0.2">
      <c r="B199" s="103"/>
      <c r="C199" s="103"/>
      <c r="D199" s="103"/>
    </row>
    <row r="200" spans="2:4" x14ac:dyDescent="0.2">
      <c r="B200" s="103"/>
      <c r="C200" s="103"/>
      <c r="D200" s="103"/>
    </row>
    <row r="201" spans="2:4" x14ac:dyDescent="0.2">
      <c r="B201" s="103"/>
      <c r="C201" s="103"/>
      <c r="D201" s="103"/>
    </row>
    <row r="202" spans="2:4" x14ac:dyDescent="0.2">
      <c r="B202" s="103"/>
      <c r="C202" s="103"/>
      <c r="D202" s="103"/>
    </row>
    <row r="203" spans="2:4" x14ac:dyDescent="0.2">
      <c r="B203" s="103"/>
      <c r="C203" s="103"/>
      <c r="D203" s="103"/>
    </row>
    <row r="204" spans="2:4" x14ac:dyDescent="0.2">
      <c r="B204" s="103"/>
      <c r="C204" s="103"/>
      <c r="D204" s="103"/>
    </row>
    <row r="205" spans="2:4" x14ac:dyDescent="0.2">
      <c r="B205" s="103"/>
      <c r="C205" s="103"/>
      <c r="D205" s="103"/>
    </row>
    <row r="206" spans="2:4" x14ac:dyDescent="0.2">
      <c r="B206" s="103"/>
      <c r="C206" s="103"/>
      <c r="D206" s="103"/>
    </row>
    <row r="207" spans="2:4" x14ac:dyDescent="0.2">
      <c r="B207" s="103"/>
      <c r="C207" s="103"/>
      <c r="D207" s="103"/>
    </row>
    <row r="208" spans="2:4" x14ac:dyDescent="0.2">
      <c r="B208" s="103"/>
      <c r="C208" s="103"/>
      <c r="D208" s="103"/>
    </row>
    <row r="209" spans="2:4" x14ac:dyDescent="0.2">
      <c r="B209" s="103"/>
      <c r="C209" s="103"/>
      <c r="D209" s="103"/>
    </row>
    <row r="210" spans="2:4" x14ac:dyDescent="0.2">
      <c r="B210" s="103"/>
      <c r="C210" s="103"/>
      <c r="D210" s="103"/>
    </row>
    <row r="211" spans="2:4" x14ac:dyDescent="0.2">
      <c r="B211" s="103"/>
      <c r="C211" s="103"/>
      <c r="D211" s="103"/>
    </row>
    <row r="212" spans="2:4" x14ac:dyDescent="0.2">
      <c r="B212" s="103"/>
      <c r="C212" s="103"/>
      <c r="D212" s="103"/>
    </row>
    <row r="213" spans="2:4" x14ac:dyDescent="0.2">
      <c r="B213" s="103"/>
      <c r="C213" s="103"/>
      <c r="D213" s="103"/>
    </row>
    <row r="214" spans="2:4" x14ac:dyDescent="0.2">
      <c r="B214" s="103"/>
      <c r="C214" s="103"/>
      <c r="D214" s="103"/>
    </row>
    <row r="215" spans="2:4" x14ac:dyDescent="0.2">
      <c r="B215" s="103"/>
      <c r="C215" s="103"/>
      <c r="D215" s="103"/>
    </row>
    <row r="216" spans="2:4" x14ac:dyDescent="0.2">
      <c r="B216" s="103"/>
      <c r="C216" s="103"/>
      <c r="D216" s="103"/>
    </row>
    <row r="217" spans="2:4" x14ac:dyDescent="0.2">
      <c r="B217" s="103"/>
      <c r="C217" s="103"/>
      <c r="D217" s="103"/>
    </row>
    <row r="218" spans="2:4" x14ac:dyDescent="0.2">
      <c r="B218" s="103"/>
      <c r="C218" s="103"/>
      <c r="D218" s="103"/>
    </row>
    <row r="219" spans="2:4" x14ac:dyDescent="0.2">
      <c r="B219" s="103"/>
      <c r="C219" s="103"/>
      <c r="D219" s="103"/>
    </row>
    <row r="220" spans="2:4" x14ac:dyDescent="0.2">
      <c r="B220" s="103"/>
      <c r="C220" s="103"/>
      <c r="D220" s="103"/>
    </row>
    <row r="221" spans="2:4" x14ac:dyDescent="0.2">
      <c r="B221" s="103"/>
      <c r="C221" s="103"/>
      <c r="D221" s="103"/>
    </row>
    <row r="222" spans="2:4" x14ac:dyDescent="0.2">
      <c r="B222" s="103"/>
      <c r="C222" s="103"/>
      <c r="D222" s="103"/>
    </row>
    <row r="223" spans="2:4" x14ac:dyDescent="0.2">
      <c r="B223" s="103"/>
      <c r="C223" s="103"/>
      <c r="D223" s="103"/>
    </row>
    <row r="224" spans="2:4" x14ac:dyDescent="0.2">
      <c r="B224" s="103"/>
      <c r="C224" s="103"/>
      <c r="D224" s="103"/>
    </row>
    <row r="225" spans="2:4" x14ac:dyDescent="0.2">
      <c r="B225" s="103"/>
      <c r="C225" s="103"/>
      <c r="D225" s="103"/>
    </row>
    <row r="226" spans="2:4" x14ac:dyDescent="0.2">
      <c r="B226" s="103"/>
      <c r="C226" s="103"/>
      <c r="D226" s="103"/>
    </row>
    <row r="227" spans="2:4" x14ac:dyDescent="0.2">
      <c r="B227" s="103"/>
      <c r="C227" s="103"/>
      <c r="D227" s="103"/>
    </row>
    <row r="228" spans="2:4" x14ac:dyDescent="0.2">
      <c r="B228" s="103"/>
      <c r="C228" s="103"/>
      <c r="D228" s="103"/>
    </row>
    <row r="229" spans="2:4" x14ac:dyDescent="0.2">
      <c r="B229" s="103"/>
      <c r="C229" s="103"/>
      <c r="D229" s="103"/>
    </row>
    <row r="230" spans="2:4" x14ac:dyDescent="0.2">
      <c r="B230" s="103"/>
      <c r="C230" s="103"/>
      <c r="D230" s="103"/>
    </row>
    <row r="231" spans="2:4" x14ac:dyDescent="0.2">
      <c r="B231" s="103"/>
      <c r="C231" s="103"/>
      <c r="D231" s="103"/>
    </row>
    <row r="232" spans="2:4" x14ac:dyDescent="0.2">
      <c r="B232" s="103"/>
      <c r="C232" s="103"/>
      <c r="D232" s="103"/>
    </row>
    <row r="233" spans="2:4" x14ac:dyDescent="0.2">
      <c r="B233" s="103"/>
      <c r="C233" s="103"/>
      <c r="D233" s="103"/>
    </row>
    <row r="234" spans="2:4" x14ac:dyDescent="0.2">
      <c r="B234" s="103"/>
      <c r="C234" s="103"/>
      <c r="D234" s="103"/>
    </row>
    <row r="235" spans="2:4" x14ac:dyDescent="0.2">
      <c r="B235" s="103"/>
      <c r="C235" s="103"/>
      <c r="D235" s="103"/>
    </row>
    <row r="236" spans="2:4" x14ac:dyDescent="0.2">
      <c r="B236" s="103"/>
      <c r="C236" s="103"/>
      <c r="D236" s="103"/>
    </row>
    <row r="237" spans="2:4" x14ac:dyDescent="0.2">
      <c r="B237" s="103"/>
      <c r="C237" s="103"/>
      <c r="D237" s="103"/>
    </row>
    <row r="238" spans="2:4" x14ac:dyDescent="0.2">
      <c r="B238" s="103"/>
      <c r="C238" s="103"/>
      <c r="D238" s="103"/>
    </row>
    <row r="239" spans="2:4" x14ac:dyDescent="0.2">
      <c r="B239" s="103"/>
      <c r="C239" s="103"/>
      <c r="D239" s="103"/>
    </row>
    <row r="240" spans="2:4" x14ac:dyDescent="0.2">
      <c r="B240" s="103"/>
      <c r="C240" s="103"/>
      <c r="D240" s="103"/>
    </row>
    <row r="241" spans="2:4" x14ac:dyDescent="0.2">
      <c r="B241" s="103"/>
      <c r="C241" s="103"/>
      <c r="D241" s="103"/>
    </row>
    <row r="242" spans="2:4" x14ac:dyDescent="0.2">
      <c r="B242" s="103"/>
      <c r="C242" s="103"/>
      <c r="D242" s="103"/>
    </row>
    <row r="243" spans="2:4" x14ac:dyDescent="0.2">
      <c r="B243" s="103"/>
      <c r="C243" s="103"/>
      <c r="D243" s="103"/>
    </row>
    <row r="244" spans="2:4" x14ac:dyDescent="0.2">
      <c r="B244" s="103"/>
      <c r="C244" s="103"/>
      <c r="D244" s="103"/>
    </row>
    <row r="245" spans="2:4" x14ac:dyDescent="0.2">
      <c r="B245" s="103"/>
      <c r="C245" s="103"/>
      <c r="D245" s="103"/>
    </row>
    <row r="246" spans="2:4" x14ac:dyDescent="0.2">
      <c r="B246" s="103"/>
      <c r="C246" s="103"/>
      <c r="D246" s="103"/>
    </row>
    <row r="247" spans="2:4" x14ac:dyDescent="0.2">
      <c r="B247" s="103"/>
      <c r="C247" s="103"/>
      <c r="D247" s="103"/>
    </row>
    <row r="248" spans="2:4" x14ac:dyDescent="0.2">
      <c r="B248" s="103"/>
      <c r="C248" s="103"/>
      <c r="D248" s="103"/>
    </row>
    <row r="249" spans="2:4" x14ac:dyDescent="0.2">
      <c r="B249" s="103"/>
      <c r="C249" s="103"/>
      <c r="D249" s="103"/>
    </row>
    <row r="250" spans="2:4" x14ac:dyDescent="0.2">
      <c r="B250" s="103"/>
      <c r="C250" s="103"/>
      <c r="D250" s="103"/>
    </row>
    <row r="251" spans="2:4" x14ac:dyDescent="0.2">
      <c r="B251" s="103"/>
      <c r="C251" s="103"/>
      <c r="D251" s="103"/>
    </row>
    <row r="252" spans="2:4" x14ac:dyDescent="0.2">
      <c r="B252" s="103"/>
      <c r="C252" s="103"/>
      <c r="D252" s="103"/>
    </row>
    <row r="253" spans="2:4" x14ac:dyDescent="0.2">
      <c r="B253" s="103"/>
      <c r="C253" s="103"/>
      <c r="D253" s="103"/>
    </row>
    <row r="254" spans="2:4" x14ac:dyDescent="0.2">
      <c r="B254" s="103"/>
      <c r="C254" s="103"/>
      <c r="D254" s="103"/>
    </row>
    <row r="255" spans="2:4" x14ac:dyDescent="0.2">
      <c r="B255" s="103"/>
      <c r="C255" s="103"/>
      <c r="D255" s="103"/>
    </row>
    <row r="256" spans="2:4" x14ac:dyDescent="0.2">
      <c r="B256" s="103"/>
      <c r="C256" s="103"/>
      <c r="D256" s="103"/>
    </row>
    <row r="257" spans="2:4" x14ac:dyDescent="0.2">
      <c r="B257" s="103"/>
      <c r="C257" s="103"/>
      <c r="D257" s="103"/>
    </row>
    <row r="258" spans="2:4" x14ac:dyDescent="0.2">
      <c r="B258" s="103"/>
      <c r="C258" s="103"/>
      <c r="D258" s="103"/>
    </row>
    <row r="259" spans="2:4" x14ac:dyDescent="0.2">
      <c r="B259" s="103"/>
      <c r="C259" s="103"/>
      <c r="D259" s="103"/>
    </row>
    <row r="260" spans="2:4" x14ac:dyDescent="0.2">
      <c r="B260" s="103"/>
      <c r="C260" s="103"/>
      <c r="D260" s="103"/>
    </row>
    <row r="261" spans="2:4" x14ac:dyDescent="0.2">
      <c r="B261" s="103"/>
      <c r="C261" s="103"/>
      <c r="D261" s="103"/>
    </row>
    <row r="262" spans="2:4" x14ac:dyDescent="0.2">
      <c r="B262" s="103"/>
      <c r="C262" s="103"/>
      <c r="D262" s="103"/>
    </row>
    <row r="263" spans="2:4" x14ac:dyDescent="0.2">
      <c r="B263" s="103"/>
      <c r="C263" s="103"/>
      <c r="D263" s="103"/>
    </row>
    <row r="264" spans="2:4" x14ac:dyDescent="0.2">
      <c r="B264" s="103"/>
      <c r="C264" s="103"/>
      <c r="D264" s="103"/>
    </row>
    <row r="265" spans="2:4" x14ac:dyDescent="0.2">
      <c r="B265" s="103"/>
      <c r="C265" s="103"/>
      <c r="D265" s="103"/>
    </row>
    <row r="266" spans="2:4" x14ac:dyDescent="0.2">
      <c r="B266" s="103"/>
      <c r="C266" s="103"/>
      <c r="D266" s="103"/>
    </row>
    <row r="267" spans="2:4" x14ac:dyDescent="0.2">
      <c r="B267" s="103"/>
      <c r="C267" s="103"/>
      <c r="D267" s="103"/>
    </row>
    <row r="268" spans="2:4" x14ac:dyDescent="0.2">
      <c r="B268" s="103"/>
      <c r="C268" s="103"/>
      <c r="D268" s="103"/>
    </row>
    <row r="269" spans="2:4" x14ac:dyDescent="0.2">
      <c r="B269" s="103"/>
      <c r="C269" s="103"/>
      <c r="D269" s="103"/>
    </row>
    <row r="270" spans="2:4" x14ac:dyDescent="0.2">
      <c r="B270" s="103"/>
      <c r="C270" s="103"/>
      <c r="D270" s="103"/>
    </row>
    <row r="271" spans="2:4" x14ac:dyDescent="0.2">
      <c r="B271" s="103"/>
      <c r="C271" s="103"/>
      <c r="D271" s="103"/>
    </row>
    <row r="272" spans="2:4" x14ac:dyDescent="0.2">
      <c r="B272" s="103"/>
      <c r="C272" s="103"/>
      <c r="D272" s="103"/>
    </row>
    <row r="273" spans="2:4" x14ac:dyDescent="0.2">
      <c r="B273" s="103"/>
      <c r="C273" s="103"/>
      <c r="D273" s="103"/>
    </row>
    <row r="274" spans="2:4" x14ac:dyDescent="0.2">
      <c r="B274" s="103"/>
      <c r="C274" s="103"/>
      <c r="D274" s="103"/>
    </row>
    <row r="275" spans="2:4" x14ac:dyDescent="0.2">
      <c r="B275" s="103"/>
      <c r="C275" s="103"/>
      <c r="D275" s="103"/>
    </row>
    <row r="276" spans="2:4" x14ac:dyDescent="0.2">
      <c r="B276" s="103"/>
      <c r="C276" s="103"/>
      <c r="D276" s="103"/>
    </row>
    <row r="277" spans="2:4" x14ac:dyDescent="0.2">
      <c r="B277" s="103"/>
      <c r="C277" s="103"/>
      <c r="D277" s="103"/>
    </row>
    <row r="278" spans="2:4" x14ac:dyDescent="0.2">
      <c r="B278" s="103"/>
      <c r="C278" s="103"/>
      <c r="D278" s="103"/>
    </row>
    <row r="279" spans="2:4" x14ac:dyDescent="0.2">
      <c r="B279" s="103"/>
      <c r="C279" s="103"/>
      <c r="D279" s="103"/>
    </row>
    <row r="280" spans="2:4" x14ac:dyDescent="0.2">
      <c r="B280" s="103"/>
      <c r="C280" s="103"/>
      <c r="D280" s="103"/>
    </row>
    <row r="281" spans="2:4" x14ac:dyDescent="0.2">
      <c r="B281" s="103"/>
      <c r="C281" s="103"/>
      <c r="D281" s="103"/>
    </row>
    <row r="282" spans="2:4" x14ac:dyDescent="0.2">
      <c r="B282" s="103"/>
      <c r="C282" s="103"/>
      <c r="D282" s="103"/>
    </row>
    <row r="283" spans="2:4" x14ac:dyDescent="0.2">
      <c r="B283" s="103"/>
      <c r="C283" s="103"/>
      <c r="D283" s="103"/>
    </row>
    <row r="284" spans="2:4" x14ac:dyDescent="0.2">
      <c r="B284" s="103"/>
      <c r="C284" s="103"/>
      <c r="D284" s="103"/>
    </row>
    <row r="285" spans="2:4" x14ac:dyDescent="0.2">
      <c r="B285" s="103"/>
      <c r="C285" s="103"/>
      <c r="D285" s="103"/>
    </row>
    <row r="286" spans="2:4" x14ac:dyDescent="0.2">
      <c r="B286" s="103"/>
      <c r="C286" s="103"/>
      <c r="D286" s="103"/>
    </row>
    <row r="287" spans="2:4" x14ac:dyDescent="0.2">
      <c r="B287" s="103"/>
      <c r="C287" s="103"/>
      <c r="D287" s="103"/>
    </row>
    <row r="288" spans="2:4" x14ac:dyDescent="0.2">
      <c r="B288" s="103"/>
      <c r="C288" s="103"/>
      <c r="D288" s="103"/>
    </row>
    <row r="289" spans="2:4" x14ac:dyDescent="0.2">
      <c r="B289" s="103"/>
      <c r="C289" s="103"/>
      <c r="D289" s="103"/>
    </row>
    <row r="290" spans="2:4" x14ac:dyDescent="0.2">
      <c r="B290" s="103"/>
      <c r="C290" s="103"/>
      <c r="D290" s="103"/>
    </row>
    <row r="291" spans="2:4" x14ac:dyDescent="0.2">
      <c r="B291" s="103"/>
      <c r="C291" s="103"/>
      <c r="D291" s="103"/>
    </row>
    <row r="292" spans="2:4" x14ac:dyDescent="0.2">
      <c r="B292" s="103"/>
      <c r="C292" s="103"/>
      <c r="D292" s="103"/>
    </row>
    <row r="293" spans="2:4" x14ac:dyDescent="0.2">
      <c r="B293" s="150"/>
      <c r="C293" s="150"/>
      <c r="D293" s="150"/>
    </row>
    <row r="294" spans="2:4" x14ac:dyDescent="0.2">
      <c r="B294" s="150"/>
      <c r="C294" s="150"/>
      <c r="D294" s="150"/>
    </row>
    <row r="295" spans="2:4" x14ac:dyDescent="0.2">
      <c r="B295" s="150"/>
      <c r="C295" s="150"/>
      <c r="D295" s="150"/>
    </row>
    <row r="296" spans="2:4" x14ac:dyDescent="0.2">
      <c r="B296" s="150"/>
      <c r="C296" s="150"/>
      <c r="D296" s="150"/>
    </row>
    <row r="297" spans="2:4" x14ac:dyDescent="0.2">
      <c r="B297" s="150"/>
      <c r="C297" s="150"/>
      <c r="D297" s="150"/>
    </row>
    <row r="298" spans="2:4" x14ac:dyDescent="0.2">
      <c r="B298" s="150"/>
      <c r="C298" s="150"/>
      <c r="D298" s="150"/>
    </row>
    <row r="299" spans="2:4" x14ac:dyDescent="0.2">
      <c r="B299" s="150"/>
      <c r="C299" s="150"/>
      <c r="D299" s="150"/>
    </row>
    <row r="300" spans="2:4" x14ac:dyDescent="0.2">
      <c r="B300" s="150"/>
      <c r="C300" s="150"/>
      <c r="D300" s="150"/>
    </row>
    <row r="301" spans="2:4" x14ac:dyDescent="0.2">
      <c r="B301" s="150"/>
      <c r="C301" s="150"/>
      <c r="D301" s="150"/>
    </row>
    <row r="302" spans="2:4" x14ac:dyDescent="0.2">
      <c r="B302" s="150"/>
      <c r="C302" s="150"/>
      <c r="D302" s="150"/>
    </row>
    <row r="303" spans="2:4" x14ac:dyDescent="0.2">
      <c r="B303" s="150"/>
      <c r="C303" s="150"/>
      <c r="D303" s="150"/>
    </row>
    <row r="304" spans="2:4" x14ac:dyDescent="0.2">
      <c r="B304" s="150"/>
      <c r="C304" s="150"/>
      <c r="D304" s="150"/>
    </row>
    <row r="305" spans="2:4" x14ac:dyDescent="0.2">
      <c r="B305" s="150"/>
      <c r="C305" s="150"/>
      <c r="D305" s="150"/>
    </row>
    <row r="306" spans="2:4" x14ac:dyDescent="0.2">
      <c r="B306" s="150"/>
      <c r="C306" s="150"/>
      <c r="D306" s="150"/>
    </row>
    <row r="307" spans="2:4" x14ac:dyDescent="0.2">
      <c r="B307" s="150"/>
      <c r="C307" s="150"/>
      <c r="D307" s="150"/>
    </row>
    <row r="308" spans="2:4" x14ac:dyDescent="0.2">
      <c r="B308" s="150"/>
      <c r="C308" s="150"/>
      <c r="D308" s="150"/>
    </row>
    <row r="309" spans="2:4" x14ac:dyDescent="0.2">
      <c r="B309" s="150"/>
      <c r="C309" s="150"/>
      <c r="D309" s="150"/>
    </row>
    <row r="310" spans="2:4" x14ac:dyDescent="0.2">
      <c r="B310" s="150"/>
      <c r="C310" s="150"/>
      <c r="D310" s="150"/>
    </row>
  </sheetData>
  <mergeCells count="3">
    <mergeCell ref="B2:D2"/>
    <mergeCell ref="B3:D3"/>
    <mergeCell ref="B46:D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ACFC0-73CB-4FE3-BC7C-2FEA2D1BCD04}">
  <sheetPr filterMode="1"/>
  <dimension ref="A1:I242"/>
  <sheetViews>
    <sheetView showGridLines="0" showRowColHeaders="0" tabSelected="1" topLeftCell="B1" zoomScale="90" zoomScaleNormal="90" workbookViewId="0">
      <selection activeCell="F15" sqref="F15"/>
    </sheetView>
  </sheetViews>
  <sheetFormatPr baseColWidth="10" defaultColWidth="10.85546875" defaultRowHeight="12.75" x14ac:dyDescent="0.2"/>
  <cols>
    <col min="1" max="1" width="8.85546875" style="220" hidden="1" customWidth="1"/>
    <col min="2" max="2" width="3.7109375" style="220" customWidth="1"/>
    <col min="3" max="3" width="72.85546875" style="319" customWidth="1"/>
    <col min="4" max="5" width="45.5703125" style="75" hidden="1" customWidth="1"/>
    <col min="6" max="6" width="18.85546875" style="20" customWidth="1"/>
    <col min="7" max="7" width="4.140625" style="75" customWidth="1"/>
    <col min="8" max="8" width="53.42578125" style="75" customWidth="1"/>
    <col min="9" max="16384" width="10.85546875" style="75"/>
  </cols>
  <sheetData>
    <row r="1" spans="1:6" ht="45.75" customHeight="1" x14ac:dyDescent="0.35">
      <c r="A1" s="219" t="s">
        <v>199</v>
      </c>
      <c r="B1" s="219"/>
      <c r="C1" s="432" t="s">
        <v>218</v>
      </c>
      <c r="D1" s="433"/>
      <c r="E1" s="433"/>
      <c r="F1" s="432"/>
    </row>
    <row r="2" spans="1:6" ht="16.5" customHeight="1" x14ac:dyDescent="0.35">
      <c r="A2" s="140" t="s">
        <v>172</v>
      </c>
      <c r="B2" s="140"/>
      <c r="C2" s="318"/>
    </row>
    <row r="3" spans="1:6" x14ac:dyDescent="0.2">
      <c r="A3" s="140" t="s">
        <v>172</v>
      </c>
      <c r="B3" s="140"/>
      <c r="C3" s="9" t="s">
        <v>277</v>
      </c>
      <c r="F3" s="1"/>
    </row>
    <row r="4" spans="1:6" x14ac:dyDescent="0.2">
      <c r="A4" s="140" t="s">
        <v>172</v>
      </c>
      <c r="B4" s="140"/>
      <c r="C4" s="75"/>
      <c r="F4" s="1"/>
    </row>
    <row r="5" spans="1:6" x14ac:dyDescent="0.2">
      <c r="A5" s="140" t="s">
        <v>172</v>
      </c>
      <c r="B5" s="140"/>
      <c r="C5" s="75" t="s">
        <v>278</v>
      </c>
      <c r="F5" s="1"/>
    </row>
    <row r="6" spans="1:6" x14ac:dyDescent="0.2">
      <c r="A6" s="140" t="s">
        <v>172</v>
      </c>
      <c r="B6" s="140"/>
      <c r="C6" s="75"/>
      <c r="F6" s="1"/>
    </row>
    <row r="7" spans="1:6" x14ac:dyDescent="0.2">
      <c r="A7" s="140" t="s">
        <v>172</v>
      </c>
      <c r="B7" s="140"/>
      <c r="C7" s="359" t="s">
        <v>225</v>
      </c>
      <c r="F7" s="1"/>
    </row>
    <row r="8" spans="1:6" x14ac:dyDescent="0.2">
      <c r="A8" s="140" t="s">
        <v>172</v>
      </c>
      <c r="B8" s="140"/>
      <c r="C8" s="359" t="s">
        <v>217</v>
      </c>
      <c r="F8" s="1"/>
    </row>
    <row r="9" spans="1:6" x14ac:dyDescent="0.2">
      <c r="A9" s="140" t="s">
        <v>172</v>
      </c>
      <c r="B9" s="140"/>
      <c r="C9" s="75"/>
      <c r="F9" s="1"/>
    </row>
    <row r="10" spans="1:6" x14ac:dyDescent="0.2">
      <c r="A10" s="140" t="s">
        <v>172</v>
      </c>
      <c r="B10" s="140"/>
      <c r="C10" s="360" t="s">
        <v>226</v>
      </c>
      <c r="F10" s="1"/>
    </row>
    <row r="11" spans="1:6" x14ac:dyDescent="0.2">
      <c r="A11" s="140" t="s">
        <v>172</v>
      </c>
      <c r="B11" s="140"/>
      <c r="C11" s="9" t="s">
        <v>279</v>
      </c>
      <c r="F11" s="1"/>
    </row>
    <row r="12" spans="1:6" x14ac:dyDescent="0.2">
      <c r="A12" s="140" t="s">
        <v>172</v>
      </c>
      <c r="B12" s="140"/>
      <c r="C12" s="9" t="s">
        <v>304</v>
      </c>
      <c r="F12" s="1"/>
    </row>
    <row r="13" spans="1:6" x14ac:dyDescent="0.2">
      <c r="A13" s="140" t="s">
        <v>172</v>
      </c>
      <c r="B13" s="140"/>
      <c r="C13" s="360" t="s">
        <v>219</v>
      </c>
      <c r="F13" s="1"/>
    </row>
    <row r="14" spans="1:6" ht="15" thickBot="1" x14ac:dyDescent="0.25">
      <c r="A14" s="140" t="s">
        <v>172</v>
      </c>
      <c r="B14" s="140"/>
      <c r="C14" s="11"/>
      <c r="F14" s="1"/>
    </row>
    <row r="15" spans="1:6" s="173" customFormat="1" ht="23.25" customHeight="1" thickBot="1" x14ac:dyDescent="0.25">
      <c r="A15" s="140" t="s">
        <v>172</v>
      </c>
      <c r="B15" s="140"/>
      <c r="C15" s="308" t="s">
        <v>195</v>
      </c>
      <c r="D15" s="75"/>
      <c r="E15" s="63"/>
      <c r="F15" s="380" t="s">
        <v>120</v>
      </c>
    </row>
    <row r="16" spans="1:6" s="71" customFormat="1" ht="36" customHeight="1" thickBot="1" x14ac:dyDescent="0.3">
      <c r="A16" s="140" t="s">
        <v>172</v>
      </c>
      <c r="B16" s="140"/>
      <c r="C16" s="211" t="s">
        <v>14</v>
      </c>
      <c r="D16" s="172"/>
      <c r="E16" s="172"/>
    </row>
    <row r="17" spans="1:8" ht="16.5" hidden="1" customHeight="1" x14ac:dyDescent="0.2">
      <c r="A17" s="140" t="s">
        <v>171</v>
      </c>
      <c r="B17" s="140"/>
      <c r="C17" s="279" t="s">
        <v>166</v>
      </c>
      <c r="D17" s="174"/>
      <c r="E17" s="174"/>
      <c r="F17" s="342"/>
    </row>
    <row r="18" spans="1:8" ht="5.25" hidden="1" customHeight="1" x14ac:dyDescent="0.2">
      <c r="A18" s="140" t="s">
        <v>171</v>
      </c>
      <c r="B18" s="140"/>
      <c r="C18" s="48"/>
      <c r="D18" s="63"/>
      <c r="E18" s="63"/>
      <c r="F18" s="320"/>
    </row>
    <row r="19" spans="1:8" ht="13.5" hidden="1" thickBot="1" x14ac:dyDescent="0.25">
      <c r="A19" s="140" t="s">
        <v>171</v>
      </c>
      <c r="B19" s="140"/>
      <c r="C19" s="48" t="s">
        <v>211</v>
      </c>
      <c r="D19" s="341" t="s">
        <v>209</v>
      </c>
      <c r="E19" s="63"/>
      <c r="F19" s="320"/>
    </row>
    <row r="20" spans="1:8" ht="3.75" hidden="1" customHeight="1" x14ac:dyDescent="0.2">
      <c r="A20" s="140" t="s">
        <v>171</v>
      </c>
      <c r="B20" s="140"/>
      <c r="C20" s="48"/>
      <c r="D20" s="63"/>
      <c r="E20" s="63"/>
      <c r="F20" s="320"/>
    </row>
    <row r="21" spans="1:8" ht="15.75" hidden="1" thickBot="1" x14ac:dyDescent="0.4">
      <c r="A21" s="140" t="s">
        <v>171</v>
      </c>
      <c r="B21" s="140"/>
      <c r="C21" s="48" t="s">
        <v>212</v>
      </c>
      <c r="D21" s="341" t="s">
        <v>210</v>
      </c>
      <c r="E21" s="63"/>
      <c r="F21" s="343"/>
    </row>
    <row r="22" spans="1:8" s="173" customFormat="1" ht="21.75" customHeight="1" thickBot="1" x14ac:dyDescent="0.25">
      <c r="A22" s="344" t="s">
        <v>172</v>
      </c>
      <c r="B22" s="344"/>
      <c r="C22" s="308" t="s">
        <v>214</v>
      </c>
      <c r="D22" s="345"/>
      <c r="E22" s="345"/>
      <c r="F22" s="397"/>
    </row>
    <row r="23" spans="1:8" hidden="1" x14ac:dyDescent="0.2">
      <c r="A23" s="140" t="s">
        <v>171</v>
      </c>
      <c r="B23" s="140"/>
      <c r="C23" s="68"/>
      <c r="D23" s="428"/>
      <c r="E23" s="428"/>
      <c r="F23" s="269"/>
    </row>
    <row r="24" spans="1:8" hidden="1" x14ac:dyDescent="0.2">
      <c r="A24" s="140" t="s">
        <v>171</v>
      </c>
      <c r="B24" s="140"/>
      <c r="C24" s="14" t="s">
        <v>72</v>
      </c>
      <c r="D24" s="175"/>
      <c r="E24" s="175"/>
      <c r="F24" s="270" cm="1">
        <f t="array" ref="F24">INDEX(Barème!$C$5:$XFD$9232,_xlfn.XMATCH('Calcul-Subv-GS'!$C24,Barème!$B$5:$B$9232),_xlfn.XMATCH('Calcul-Subv-GS'!$F$15,Barème!$C$4:$XFD$4))</f>
        <v>260</v>
      </c>
    </row>
    <row r="25" spans="1:8" hidden="1" x14ac:dyDescent="0.2">
      <c r="A25" s="140" t="s">
        <v>171</v>
      </c>
      <c r="B25" s="140"/>
      <c r="C25" s="3" t="s">
        <v>196</v>
      </c>
      <c r="D25" s="176" t="s">
        <v>197</v>
      </c>
      <c r="E25" s="176"/>
      <c r="F25" s="271">
        <v>1</v>
      </c>
    </row>
    <row r="26" spans="1:8" ht="6" hidden="1" customHeight="1" x14ac:dyDescent="0.2">
      <c r="A26" s="140" t="s">
        <v>171</v>
      </c>
      <c r="B26" s="140"/>
      <c r="C26" s="14"/>
      <c r="D26" s="63"/>
      <c r="E26" s="63"/>
      <c r="F26" s="272"/>
    </row>
    <row r="27" spans="1:8" s="63" customFormat="1" ht="6" customHeight="1" x14ac:dyDescent="0.2">
      <c r="A27" s="344" t="s">
        <v>172</v>
      </c>
      <c r="B27" s="140"/>
      <c r="C27" s="14"/>
      <c r="F27" s="355"/>
    </row>
    <row r="28" spans="1:8" s="63" customFormat="1" x14ac:dyDescent="0.2">
      <c r="A28" s="140" t="s">
        <v>172</v>
      </c>
      <c r="B28" s="140"/>
      <c r="C28" s="48" t="s">
        <v>233</v>
      </c>
      <c r="D28" s="177"/>
      <c r="E28" s="177"/>
      <c r="F28" s="418"/>
      <c r="H28" s="63" t="s">
        <v>280</v>
      </c>
    </row>
    <row r="29" spans="1:8" s="63" customFormat="1" ht="4.5" customHeight="1" x14ac:dyDescent="0.2">
      <c r="A29" s="140" t="s">
        <v>172</v>
      </c>
      <c r="B29" s="140"/>
      <c r="C29" s="48"/>
      <c r="F29" s="419"/>
    </row>
    <row r="30" spans="1:8" s="63" customFormat="1" x14ac:dyDescent="0.2">
      <c r="A30" s="140" t="s">
        <v>172</v>
      </c>
      <c r="B30" s="140"/>
      <c r="C30" s="48" t="s">
        <v>283</v>
      </c>
      <c r="F30" s="418"/>
      <c r="H30" s="63" t="s">
        <v>223</v>
      </c>
    </row>
    <row r="31" spans="1:8" s="63" customFormat="1" ht="6" customHeight="1" x14ac:dyDescent="0.2">
      <c r="A31" s="140" t="s">
        <v>172</v>
      </c>
      <c r="B31" s="140"/>
      <c r="C31" s="48"/>
      <c r="F31" s="419"/>
    </row>
    <row r="32" spans="1:8" s="63" customFormat="1" x14ac:dyDescent="0.2">
      <c r="A32" s="140" t="s">
        <v>172</v>
      </c>
      <c r="B32" s="140"/>
      <c r="C32" s="48" t="s">
        <v>234</v>
      </c>
      <c r="F32" s="420"/>
    </row>
    <row r="33" spans="1:8" s="63" customFormat="1" ht="18" customHeight="1" thickBot="1" x14ac:dyDescent="0.25">
      <c r="A33" s="140" t="s">
        <v>172</v>
      </c>
      <c r="B33" s="140"/>
      <c r="C33" s="356" t="s">
        <v>236</v>
      </c>
      <c r="F33" s="331">
        <f>F28+F30+F32</f>
        <v>0</v>
      </c>
    </row>
    <row r="34" spans="1:8" s="177" customFormat="1" ht="18.75" hidden="1" customHeight="1" x14ac:dyDescent="0.2">
      <c r="A34" s="140" t="s">
        <v>171</v>
      </c>
      <c r="B34" s="140"/>
      <c r="C34" s="76"/>
      <c r="D34" s="77" t="s">
        <v>27</v>
      </c>
      <c r="F34" s="273"/>
    </row>
    <row r="35" spans="1:8" s="63" customFormat="1" ht="13.5" hidden="1" thickBot="1" x14ac:dyDescent="0.25">
      <c r="A35" s="140" t="s">
        <v>171</v>
      </c>
      <c r="B35" s="140"/>
      <c r="C35" s="3" t="s">
        <v>76</v>
      </c>
      <c r="D35" s="179" cm="1">
        <f t="array" ref="D35">INDEX(Barème!$C$5:$XFD$9232,_xlfn.XMATCH('Calcul-Subv-GS'!$C35,Barème!$B$5:$B$9232),_xlfn.XMATCH('Calcul-Subv-GS'!$F$15,Barème!$C$4:$XFD$4))</f>
        <v>1.6</v>
      </c>
      <c r="E35" s="178"/>
      <c r="F35" s="274">
        <f>ROUND(+F28*D35,1)</f>
        <v>0</v>
      </c>
    </row>
    <row r="36" spans="1:8" s="63" customFormat="1" ht="13.5" hidden="1" thickBot="1" x14ac:dyDescent="0.25">
      <c r="A36" s="140" t="s">
        <v>171</v>
      </c>
      <c r="B36" s="140"/>
      <c r="C36" s="3" t="s">
        <v>13</v>
      </c>
      <c r="D36" s="179" cm="1">
        <f t="array" ref="D36">INDEX(Barème!$C$5:$XFD$9232,_xlfn.XMATCH('Calcul-Subv-GS'!$C36,Barème!$B$5:$B$9232),_xlfn.XMATCH('Calcul-Subv-GS'!$F$15,Barème!$C$4:$XFD$4))</f>
        <v>1</v>
      </c>
      <c r="E36" s="178"/>
      <c r="F36" s="274">
        <f>ROUND(+F30*D36,1)</f>
        <v>0</v>
      </c>
    </row>
    <row r="37" spans="1:8" s="63" customFormat="1" ht="13.5" hidden="1" thickBot="1" x14ac:dyDescent="0.25">
      <c r="A37" s="140" t="s">
        <v>171</v>
      </c>
      <c r="B37" s="140"/>
      <c r="C37" s="3" t="s">
        <v>77</v>
      </c>
      <c r="D37" s="179" cm="1">
        <f t="array" ref="D37">INDEX(Barème!$C$5:$XFD$9232,_xlfn.XMATCH('Calcul-Subv-GS'!$C37,Barème!$B$5:$B$9232),_xlfn.XMATCH('Calcul-Subv-GS'!$F$15,Barème!$C$4:$XFD$4))</f>
        <v>0.8</v>
      </c>
      <c r="E37" s="178"/>
      <c r="F37" s="275">
        <f t="shared" ref="F37" si="0">ROUND(+F32*D37,1)</f>
        <v>0</v>
      </c>
    </row>
    <row r="38" spans="1:8" s="63" customFormat="1" ht="13.5" hidden="1" thickBot="1" x14ac:dyDescent="0.25">
      <c r="A38" s="140" t="s">
        <v>171</v>
      </c>
      <c r="B38" s="140"/>
      <c r="C38" s="64" t="s">
        <v>6</v>
      </c>
      <c r="D38" s="180"/>
      <c r="E38" s="180"/>
      <c r="F38" s="227">
        <f>SUM(F35:F37)</f>
        <v>0</v>
      </c>
    </row>
    <row r="39" spans="1:8" s="63" customFormat="1" ht="6" hidden="1" customHeight="1" thickBot="1" x14ac:dyDescent="0.25">
      <c r="A39" s="140" t="s">
        <v>171</v>
      </c>
      <c r="B39" s="140"/>
      <c r="C39" s="14"/>
      <c r="F39" s="141"/>
    </row>
    <row r="40" spans="1:8" s="177" customFormat="1" ht="16.5" hidden="1" customHeight="1" x14ac:dyDescent="0.2">
      <c r="A40" s="140" t="s">
        <v>171</v>
      </c>
      <c r="B40" s="140"/>
      <c r="C40" s="279" t="s">
        <v>202</v>
      </c>
      <c r="D40" s="174" t="s">
        <v>261</v>
      </c>
      <c r="E40" s="174"/>
      <c r="F40" s="347"/>
    </row>
    <row r="41" spans="1:8" s="63" customFormat="1" ht="3.75" hidden="1" customHeight="1" x14ac:dyDescent="0.2">
      <c r="A41" s="140" t="s">
        <v>171</v>
      </c>
      <c r="B41" s="140"/>
      <c r="C41" s="48"/>
      <c r="F41" s="320"/>
    </row>
    <row r="42" spans="1:8" ht="15" hidden="1" customHeight="1" x14ac:dyDescent="0.2">
      <c r="A42" s="140" t="s">
        <v>171</v>
      </c>
      <c r="B42" s="140"/>
      <c r="C42" s="48" t="s">
        <v>203</v>
      </c>
      <c r="D42" s="63" t="s">
        <v>261</v>
      </c>
      <c r="E42" s="63"/>
      <c r="F42" s="348"/>
    </row>
    <row r="43" spans="1:8" ht="4.5" hidden="1" customHeight="1" x14ac:dyDescent="0.2">
      <c r="A43" s="140" t="s">
        <v>171</v>
      </c>
      <c r="B43" s="140"/>
      <c r="C43" s="48"/>
      <c r="D43" s="63"/>
      <c r="E43" s="63"/>
      <c r="F43" s="320"/>
    </row>
    <row r="44" spans="1:8" ht="13.5" hidden="1" thickBot="1" x14ac:dyDescent="0.25">
      <c r="A44" s="140" t="s">
        <v>171</v>
      </c>
      <c r="B44" s="140"/>
      <c r="C44" s="317" t="s">
        <v>204</v>
      </c>
      <c r="D44" s="180" t="s">
        <v>261</v>
      </c>
      <c r="E44" s="180"/>
      <c r="F44" s="349"/>
    </row>
    <row r="45" spans="1:8" ht="17.25" customHeight="1" thickBot="1" x14ac:dyDescent="0.25">
      <c r="A45" s="140" t="s">
        <v>172</v>
      </c>
      <c r="B45" s="140"/>
      <c r="C45" s="308" t="s">
        <v>235</v>
      </c>
      <c r="D45" s="345"/>
      <c r="E45" s="345"/>
      <c r="F45" s="381"/>
      <c r="H45" s="75" t="s">
        <v>220</v>
      </c>
    </row>
    <row r="46" spans="1:8" ht="6.75" customHeight="1" thickBot="1" x14ac:dyDescent="0.25">
      <c r="A46" s="140" t="s">
        <v>172</v>
      </c>
      <c r="B46" s="140"/>
      <c r="C46" s="357"/>
      <c r="E46" s="63"/>
      <c r="F46" s="286"/>
    </row>
    <row r="47" spans="1:8" ht="15.75" hidden="1" customHeight="1" x14ac:dyDescent="0.2">
      <c r="A47" s="140" t="s">
        <v>171</v>
      </c>
      <c r="B47" s="140"/>
      <c r="C47" s="18" t="s">
        <v>74</v>
      </c>
      <c r="D47" s="209" t="s">
        <v>198</v>
      </c>
      <c r="E47" s="209"/>
      <c r="F47" s="138" t="e">
        <f>ROUND(F28/(F17*$F$24),4)</f>
        <v>#DIV/0!</v>
      </c>
    </row>
    <row r="48" spans="1:8" ht="15.75" hidden="1" customHeight="1" x14ac:dyDescent="0.2">
      <c r="A48" s="140" t="s">
        <v>171</v>
      </c>
      <c r="B48" s="140"/>
      <c r="C48" s="3" t="s">
        <v>1</v>
      </c>
      <c r="D48" s="210" t="s">
        <v>198</v>
      </c>
      <c r="E48" s="210"/>
      <c r="F48" s="137" t="e">
        <f>ROUND(F30/(F19*$F$24),4)</f>
        <v>#DIV/0!</v>
      </c>
    </row>
    <row r="49" spans="1:8" ht="15.75" hidden="1" customHeight="1" x14ac:dyDescent="0.2">
      <c r="A49" s="140" t="s">
        <v>171</v>
      </c>
      <c r="B49" s="140"/>
      <c r="C49" s="3" t="s">
        <v>75</v>
      </c>
      <c r="D49" s="210" t="s">
        <v>198</v>
      </c>
      <c r="E49" s="210"/>
      <c r="F49" s="137" t="e">
        <f>ROUND(F32/(F21*$F$24),4)</f>
        <v>#DIV/0!</v>
      </c>
    </row>
    <row r="50" spans="1:8" ht="15.75" hidden="1" customHeight="1" x14ac:dyDescent="0.2">
      <c r="A50" s="140" t="s">
        <v>171</v>
      </c>
      <c r="B50" s="140"/>
      <c r="C50" s="14" t="s">
        <v>61</v>
      </c>
      <c r="D50" s="210"/>
      <c r="E50" s="210"/>
      <c r="F50" s="137" t="e">
        <f>ROUND((+F17/F$22*F47)+(+F19/F$22*F48)+(+F21/F$22*F49),4)</f>
        <v>#DIV/0!</v>
      </c>
    </row>
    <row r="51" spans="1:8" ht="15.75" hidden="1" customHeight="1" thickBot="1" x14ac:dyDescent="0.25">
      <c r="A51" s="140" t="s">
        <v>171</v>
      </c>
      <c r="B51" s="140"/>
      <c r="C51" s="64" t="s">
        <v>65</v>
      </c>
      <c r="D51" s="181"/>
      <c r="E51" s="181"/>
      <c r="F51" s="137" t="e">
        <f>ROUND((F33+F166)/(F22*F24),4)</f>
        <v>#DIV/0!</v>
      </c>
    </row>
    <row r="52" spans="1:8" ht="15.75" hidden="1" customHeight="1" x14ac:dyDescent="0.2">
      <c r="A52" s="140" t="s">
        <v>171</v>
      </c>
      <c r="B52" s="140"/>
      <c r="C52" s="18" t="s">
        <v>62</v>
      </c>
      <c r="D52" s="209" t="s">
        <v>198</v>
      </c>
      <c r="E52" s="183"/>
      <c r="F52" s="138" t="e">
        <f>ROUND(F40/F28,4)</f>
        <v>#DIV/0!</v>
      </c>
    </row>
    <row r="53" spans="1:8" ht="15.75" hidden="1" customHeight="1" x14ac:dyDescent="0.2">
      <c r="A53" s="140" t="s">
        <v>171</v>
      </c>
      <c r="B53" s="140"/>
      <c r="C53" s="3" t="s">
        <v>63</v>
      </c>
      <c r="D53" s="210" t="s">
        <v>198</v>
      </c>
      <c r="E53" s="183"/>
      <c r="F53" s="137" t="e">
        <f>ROUND(F42/F30,4)</f>
        <v>#DIV/0!</v>
      </c>
    </row>
    <row r="54" spans="1:8" ht="15.75" hidden="1" customHeight="1" x14ac:dyDescent="0.2">
      <c r="A54" s="140" t="s">
        <v>171</v>
      </c>
      <c r="B54" s="140"/>
      <c r="C54" s="3" t="s">
        <v>78</v>
      </c>
      <c r="D54" s="210" t="s">
        <v>198</v>
      </c>
      <c r="E54" s="183"/>
      <c r="F54" s="137" t="e">
        <f>ROUND(F44/F32,4)</f>
        <v>#DIV/0!</v>
      </c>
    </row>
    <row r="55" spans="1:8" ht="15.75" hidden="1" customHeight="1" x14ac:dyDescent="0.2">
      <c r="A55" s="140" t="s">
        <v>171</v>
      </c>
      <c r="B55" s="140"/>
      <c r="C55" s="78" t="s">
        <v>79</v>
      </c>
      <c r="D55" s="182"/>
      <c r="E55" s="183"/>
      <c r="F55" s="137" t="e">
        <f>ROUND((+F17/F$22*F52)+(+F19/F$22*F53)+(+F21/F$22*F54),4)</f>
        <v>#DIV/0!</v>
      </c>
    </row>
    <row r="56" spans="1:8" ht="15.75" hidden="1" customHeight="1" x14ac:dyDescent="0.2">
      <c r="A56" s="140" t="s">
        <v>171</v>
      </c>
      <c r="B56" s="140"/>
      <c r="C56" s="14" t="s">
        <v>64</v>
      </c>
      <c r="D56" s="182"/>
      <c r="E56" s="183"/>
      <c r="F56" s="137" t="e">
        <f>ROUND((F45-F168-F208-F214)/(F33-F166-F203-F212),4)</f>
        <v>#DIV/0!</v>
      </c>
    </row>
    <row r="57" spans="1:8" ht="4.5" hidden="1" customHeight="1" x14ac:dyDescent="0.2">
      <c r="A57" s="140" t="s">
        <v>171</v>
      </c>
      <c r="B57" s="140"/>
      <c r="C57" s="3"/>
      <c r="E57" s="63"/>
      <c r="F57" s="2"/>
    </row>
    <row r="58" spans="1:8" ht="13.5" hidden="1" thickBot="1" x14ac:dyDescent="0.25">
      <c r="A58" s="140" t="s">
        <v>171</v>
      </c>
      <c r="B58" s="140"/>
      <c r="C58" s="15" t="s">
        <v>80</v>
      </c>
      <c r="D58" s="23" t="s">
        <v>28</v>
      </c>
      <c r="E58" s="63"/>
      <c r="F58" s="6"/>
    </row>
    <row r="59" spans="1:8" ht="13.5" hidden="1" thickBot="1" x14ac:dyDescent="0.25">
      <c r="A59" s="140" t="s">
        <v>171</v>
      </c>
      <c r="B59" s="140"/>
      <c r="C59" s="3" t="s">
        <v>177</v>
      </c>
      <c r="D59" s="70" cm="1">
        <f t="array" ref="D59">INDEX(Barème!$C$5:$XFD$9232,_xlfn.XMATCH('Calcul-Subv-GS'!$C59,Barème!$A$5:$A$9232),_xlfn.XMATCH('Calcul-Subv-GS'!$F$15,Barème!$C$4:$XFD$4))</f>
        <v>64</v>
      </c>
      <c r="E59" s="184" t="s">
        <v>175</v>
      </c>
      <c r="F59" s="5">
        <f>ROUND($D59*F28,0)</f>
        <v>0</v>
      </c>
    </row>
    <row r="60" spans="1:8" ht="13.5" hidden="1" thickBot="1" x14ac:dyDescent="0.25">
      <c r="A60" s="140" t="s">
        <v>171</v>
      </c>
      <c r="B60" s="140"/>
      <c r="C60" s="3" t="s">
        <v>178</v>
      </c>
      <c r="D60" s="70" cm="1">
        <f t="array" ref="D60">INDEX(Barème!$C$5:$XFD$9232,_xlfn.XMATCH('Calcul-Subv-GS'!$C60,Barème!$A$5:$A$9232),_xlfn.XMATCH('Calcul-Subv-GS'!$F$15,Barème!$C$4:$XFD$4))</f>
        <v>40.299999999999997</v>
      </c>
      <c r="E60" s="184" t="s">
        <v>176</v>
      </c>
      <c r="F60" s="5">
        <f>ROUND($D60*F30,0)</f>
        <v>0</v>
      </c>
    </row>
    <row r="61" spans="1:8" ht="16.5" hidden="1" customHeight="1" thickBot="1" x14ac:dyDescent="0.4">
      <c r="A61" s="140" t="s">
        <v>171</v>
      </c>
      <c r="B61" s="140"/>
      <c r="C61" s="3" t="s">
        <v>179</v>
      </c>
      <c r="D61" s="70" cm="1">
        <f t="array" ref="D61">INDEX(Barème!$C$5:$XFD$9232,_xlfn.XMATCH('Calcul-Subv-GS'!$C61,Barème!$A$5:$A$9232),_xlfn.XMATCH('Calcul-Subv-GS'!$F$15,Barème!$C$4:$XFD$4))</f>
        <v>32.4</v>
      </c>
      <c r="E61" s="184" t="s">
        <v>262</v>
      </c>
      <c r="F61" s="62">
        <f>ROUND($D61*F32,0)</f>
        <v>0</v>
      </c>
    </row>
    <row r="62" spans="1:8" ht="13.5" thickBot="1" x14ac:dyDescent="0.25">
      <c r="A62" s="140" t="s">
        <v>172</v>
      </c>
      <c r="B62" s="140"/>
      <c r="C62" s="281" t="s">
        <v>237</v>
      </c>
      <c r="D62" s="185"/>
      <c r="E62" s="185"/>
      <c r="F62" s="53">
        <f>SUM(F59:F61)</f>
        <v>0</v>
      </c>
      <c r="H62" s="375"/>
    </row>
    <row r="63" spans="1:8" ht="13.5" thickBot="1" x14ac:dyDescent="0.25">
      <c r="A63" s="140" t="s">
        <v>172</v>
      </c>
      <c r="B63" s="140"/>
      <c r="C63" s="221"/>
      <c r="D63" s="23"/>
      <c r="E63" s="63"/>
      <c r="F63" s="218"/>
      <c r="H63" s="375"/>
    </row>
    <row r="64" spans="1:8" ht="30" customHeight="1" thickBot="1" x14ac:dyDescent="0.25">
      <c r="A64" s="140" t="s">
        <v>172</v>
      </c>
      <c r="B64" s="140"/>
      <c r="C64" s="309" t="s">
        <v>284</v>
      </c>
      <c r="E64" s="63"/>
      <c r="F64" s="382" t="s">
        <v>205</v>
      </c>
      <c r="H64" s="375"/>
    </row>
    <row r="65" spans="1:8" ht="15" customHeight="1" thickBot="1" x14ac:dyDescent="0.25">
      <c r="A65" s="140" t="s">
        <v>172</v>
      </c>
      <c r="B65" s="140"/>
      <c r="C65" s="221"/>
      <c r="D65" s="23"/>
      <c r="E65" s="63"/>
      <c r="F65" s="218"/>
    </row>
    <row r="66" spans="1:8" ht="13.5" hidden="1" thickBot="1" x14ac:dyDescent="0.25">
      <c r="A66" s="140" t="s">
        <v>171</v>
      </c>
      <c r="B66" s="140"/>
      <c r="C66" s="212" t="s">
        <v>26</v>
      </c>
      <c r="D66" s="23"/>
      <c r="E66" s="63"/>
      <c r="F66" s="39"/>
    </row>
    <row r="67" spans="1:8" s="44" customFormat="1" ht="13.5" hidden="1" thickBot="1" x14ac:dyDescent="0.25">
      <c r="A67" s="140" t="s">
        <v>171</v>
      </c>
      <c r="B67" s="140"/>
      <c r="C67" s="69" t="s">
        <v>184</v>
      </c>
      <c r="D67" s="70" t="str">
        <f>+VLOOKUP($C67,Barème!$A:$B,2,FALSE)</f>
        <v>1re année d'ouverture</v>
      </c>
      <c r="E67" s="45"/>
      <c r="F67" s="39"/>
    </row>
    <row r="68" spans="1:8" s="44" customFormat="1" ht="13.5" hidden="1" thickBot="1" x14ac:dyDescent="0.25">
      <c r="A68" s="140" t="s">
        <v>171</v>
      </c>
      <c r="B68" s="140"/>
      <c r="C68" s="69" t="s">
        <v>185</v>
      </c>
      <c r="D68" s="70" t="str">
        <f>+VLOOKUP($C68,Barème!$A:$B,2,FALSE)</f>
        <v>2e année d'ouverture</v>
      </c>
      <c r="E68" s="45"/>
      <c r="F68" s="39"/>
    </row>
    <row r="69" spans="1:8" s="44" customFormat="1" ht="13.5" hidden="1" thickBot="1" x14ac:dyDescent="0.25">
      <c r="A69" s="140" t="s">
        <v>171</v>
      </c>
      <c r="B69" s="140"/>
      <c r="C69" s="69" t="s">
        <v>186</v>
      </c>
      <c r="D69" s="70" t="str">
        <f>+VLOOKUP($C69,Barème!$A:$B,2,FALSE)</f>
        <v>Plus de 2 années d'ouverture</v>
      </c>
      <c r="E69" s="45"/>
      <c r="F69" s="39"/>
    </row>
    <row r="70" spans="1:8" s="44" customFormat="1" ht="13.5" hidden="1" thickBot="1" x14ac:dyDescent="0.25">
      <c r="A70" s="140" t="s">
        <v>171</v>
      </c>
      <c r="B70" s="140"/>
      <c r="C70" s="74"/>
      <c r="D70" s="40"/>
      <c r="E70" s="45"/>
      <c r="F70" s="39"/>
    </row>
    <row r="71" spans="1:8" ht="13.5" hidden="1" customHeight="1" x14ac:dyDescent="0.2">
      <c r="A71" s="140" t="s">
        <v>171</v>
      </c>
      <c r="B71" s="140"/>
      <c r="C71" s="135" t="s">
        <v>89</v>
      </c>
      <c r="D71" s="70" cm="1">
        <f t="array" ref="D71">INDEX(Barème!$C$5:$XFD$9232,_xlfn.XMATCH('Calcul-Subv-GS'!$C71,Barème!$B$5:$B$9232),_xlfn.XMATCH('Calcul-Subv-GS'!$F$15,Barème!$C$4:$XFD$4))</f>
        <v>-2.5</v>
      </c>
      <c r="E71" s="70"/>
      <c r="F71" s="39"/>
    </row>
    <row r="72" spans="1:8" ht="13.5" hidden="1" thickBot="1" x14ac:dyDescent="0.25">
      <c r="A72" s="140" t="s">
        <v>171</v>
      </c>
      <c r="B72" s="140"/>
      <c r="C72" s="135" t="s">
        <v>23</v>
      </c>
      <c r="D72" s="27" t="s">
        <v>19</v>
      </c>
      <c r="E72" s="63"/>
      <c r="F72" s="39"/>
    </row>
    <row r="73" spans="1:8" ht="13.5" hidden="1" thickBot="1" x14ac:dyDescent="0.25">
      <c r="A73" s="140" t="s">
        <v>171</v>
      </c>
      <c r="B73" s="140"/>
      <c r="C73" s="103" t="s">
        <v>19</v>
      </c>
      <c r="D73" s="70" cm="1">
        <f t="array" ref="D73">INDEX(Barème!$C$5:$XFD$9232,_xlfn.XMATCH('Calcul-Subv-GS'!$C73,Barème!$B$5:$B$9232),_xlfn.XMATCH('Calcul-Subv-GS'!$F$15,Barème!$C$4:$XFD$4))</f>
        <v>26.62</v>
      </c>
      <c r="E73" s="186"/>
      <c r="F73" s="39"/>
    </row>
    <row r="74" spans="1:8" ht="13.5" hidden="1" thickBot="1" x14ac:dyDescent="0.25">
      <c r="A74" s="140" t="s">
        <v>171</v>
      </c>
      <c r="B74" s="140"/>
      <c r="C74" s="75"/>
      <c r="D74" s="28" t="s">
        <v>20</v>
      </c>
      <c r="E74" s="63"/>
      <c r="F74" s="4"/>
    </row>
    <row r="75" spans="1:8" ht="13.5" hidden="1" thickBot="1" x14ac:dyDescent="0.25">
      <c r="A75" s="140" t="s">
        <v>171</v>
      </c>
      <c r="B75" s="140"/>
      <c r="C75" s="50" t="s">
        <v>129</v>
      </c>
      <c r="D75" s="187" cm="1">
        <f t="array" ref="D75">INDEX(Barème!$C$5:$XFD$9232,_xlfn.XMATCH('Calcul-Subv-GS'!$C75,Barème!$B$5:$B$9232),_xlfn.XMATCH('Calcul-Subv-GS'!$F$15,Barème!$C$4:$XFD$4))</f>
        <v>1.0111000000000001</v>
      </c>
      <c r="E75" s="63"/>
      <c r="F75" s="4"/>
    </row>
    <row r="76" spans="1:8" s="173" customFormat="1" ht="39" thickBot="1" x14ac:dyDescent="0.25">
      <c r="A76" s="140" t="s">
        <v>172</v>
      </c>
      <c r="B76" s="140"/>
      <c r="C76" s="310" t="s">
        <v>291</v>
      </c>
      <c r="D76" s="213"/>
      <c r="E76" s="214"/>
      <c r="F76" s="383"/>
      <c r="G76" s="253"/>
      <c r="H76" s="361" t="s">
        <v>295</v>
      </c>
    </row>
    <row r="77" spans="1:8" ht="13.5" hidden="1" thickBot="1" x14ac:dyDescent="0.25">
      <c r="A77" s="140" t="s">
        <v>171</v>
      </c>
      <c r="B77" s="140"/>
      <c r="C77" s="50" t="s">
        <v>73</v>
      </c>
      <c r="D77" s="189"/>
      <c r="E77" s="188"/>
      <c r="F77" s="139">
        <f>ROUND(IF(F$64=$D$67,$D$71,F76-$D$73),4)</f>
        <v>-26.62</v>
      </c>
    </row>
    <row r="78" spans="1:8" ht="26.25" customHeight="1" thickBot="1" x14ac:dyDescent="0.25">
      <c r="A78" s="140" t="s">
        <v>172</v>
      </c>
      <c r="B78" s="140"/>
      <c r="C78" s="311" t="s">
        <v>238</v>
      </c>
      <c r="D78" s="32"/>
      <c r="E78" s="34"/>
      <c r="F78" s="287">
        <f>ROUND(F38*F77*$D$75,0)</f>
        <v>0</v>
      </c>
      <c r="H78" s="363" t="str">
        <f>+IF($F$64=D67,"Pour une première année, un ajustement de "&amp;D71&amp;" $ est automatiquement calculé","Ajustement lorsque votre taux est supérieur ou inférieur à "&amp;D73&amp;" $")</f>
        <v>Ajustement lorsque votre taux est supérieur ou inférieur à 26,62 $</v>
      </c>
    </row>
    <row r="79" spans="1:8" ht="13.5" thickBot="1" x14ac:dyDescent="0.25">
      <c r="A79" s="140" t="s">
        <v>172</v>
      </c>
      <c r="B79" s="140"/>
      <c r="C79" s="221"/>
      <c r="E79" s="63"/>
      <c r="F79" s="288"/>
      <c r="H79" s="363"/>
    </row>
    <row r="80" spans="1:8" ht="13.5" thickBot="1" x14ac:dyDescent="0.25">
      <c r="A80" s="140" t="s">
        <v>172</v>
      </c>
      <c r="B80" s="140"/>
      <c r="C80" s="322" t="s">
        <v>259</v>
      </c>
      <c r="D80" s="185"/>
      <c r="E80" s="185"/>
      <c r="F80" s="323">
        <f>F62+F78</f>
        <v>0</v>
      </c>
    </row>
    <row r="81" spans="1:8" ht="15" customHeight="1" thickBot="1" x14ac:dyDescent="0.25">
      <c r="A81" s="140" t="s">
        <v>172</v>
      </c>
      <c r="B81" s="140"/>
      <c r="C81" s="230"/>
      <c r="E81" s="63"/>
      <c r="F81" s="289"/>
    </row>
    <row r="82" spans="1:8" ht="13.5" hidden="1" thickBot="1" x14ac:dyDescent="0.25">
      <c r="A82" s="140" t="s">
        <v>171</v>
      </c>
      <c r="B82" s="140"/>
      <c r="C82" s="36"/>
      <c r="D82" s="29" t="s">
        <v>149</v>
      </c>
      <c r="E82" s="34" t="s">
        <v>150</v>
      </c>
      <c r="F82" s="10"/>
    </row>
    <row r="83" spans="1:8" ht="13.5" hidden="1" thickBot="1" x14ac:dyDescent="0.25">
      <c r="A83" s="140" t="s">
        <v>171</v>
      </c>
      <c r="B83" s="140"/>
      <c r="C83" s="55" t="s">
        <v>60</v>
      </c>
      <c r="D83" s="190" cm="1">
        <f t="array" ref="D83">INDEX(Barème!$B$5:$XFD$9232,_xlfn.XMATCH('Calcul-Subv-GS'!$D82,Barème!$B$5:$B$9232),_xlfn.XMATCH(F$15,Barème!$B$4:$XFD$4))</f>
        <v>0.15</v>
      </c>
      <c r="E83" s="191" cm="1">
        <f t="array" ref="E83">INDEX(Barème!$B$5:$XFD$9232,_xlfn.XMATCH('Calcul-Subv-GS'!$E82,Barème!$B$5:$B$9232),_xlfn.XMATCH(F$15,Barème!$B$4:$XFD$4))</f>
        <v>0.7</v>
      </c>
      <c r="F83" s="19"/>
    </row>
    <row r="84" spans="1:8" ht="12.75" hidden="1" customHeight="1" x14ac:dyDescent="0.2">
      <c r="A84" s="140" t="s">
        <v>171</v>
      </c>
      <c r="B84" s="140"/>
      <c r="C84" s="75"/>
      <c r="D84" s="429" t="s">
        <v>282</v>
      </c>
      <c r="E84" s="430"/>
      <c r="F84" s="30"/>
    </row>
    <row r="85" spans="1:8" ht="13.5" hidden="1" thickBot="1" x14ac:dyDescent="0.25">
      <c r="A85" s="140" t="s">
        <v>171</v>
      </c>
      <c r="B85" s="140"/>
      <c r="C85" s="15"/>
      <c r="D85" s="192" cm="1">
        <f t="array" ref="D85">INDEX(Barème!$B$5:$XFD$9232,_xlfn.XMATCH('Calcul-Subv-GS'!$D84,Barème!$B$5:$B$9232),_xlfn.XMATCH(F$15,Barème!$B$4:$XFD$4))</f>
        <v>-4.0899999999999999E-2</v>
      </c>
      <c r="E85" s="193"/>
      <c r="F85" s="7"/>
    </row>
    <row r="86" spans="1:8" s="173" customFormat="1" ht="40.5" customHeight="1" thickBot="1" x14ac:dyDescent="0.25">
      <c r="A86" s="140" t="s">
        <v>172</v>
      </c>
      <c r="B86" s="344"/>
      <c r="C86" s="310" t="s">
        <v>292</v>
      </c>
      <c r="D86" s="194"/>
      <c r="E86" s="195"/>
      <c r="F86" s="384"/>
      <c r="H86" s="362" t="s">
        <v>221</v>
      </c>
    </row>
    <row r="87" spans="1:8" ht="13.5" hidden="1" thickBot="1" x14ac:dyDescent="0.25">
      <c r="A87" s="140" t="s">
        <v>171</v>
      </c>
      <c r="B87" s="140"/>
      <c r="C87" s="37"/>
      <c r="D87" s="194"/>
      <c r="E87" s="195"/>
      <c r="F87" s="196">
        <f>ROUND(IF(F$64=$D$67,$D$85,F86-$D$83),4)</f>
        <v>-0.15</v>
      </c>
    </row>
    <row r="88" spans="1:8" ht="26.25" customHeight="1" thickBot="1" x14ac:dyDescent="0.25">
      <c r="A88" s="140" t="s">
        <v>172</v>
      </c>
      <c r="B88" s="140"/>
      <c r="C88" s="311" t="s">
        <v>250</v>
      </c>
      <c r="D88" s="31"/>
      <c r="E88" s="33"/>
      <c r="F88" s="287">
        <f>ROUND(IF(F87*F80&lt;0,F87*F80*$E$83,0),0)</f>
        <v>0</v>
      </c>
      <c r="H88" s="364" t="str">
        <f>IF($F$64=D67,"Pour une première année, un ajustement de "&amp;D85*100&amp;" % est automatiquement calculé",+"Ajustement est calculé lorsque votre taux est inférieur à "&amp;D83*100&amp;" %")</f>
        <v>Ajustement est calculé lorsque votre taux est inférieur à 15 %</v>
      </c>
    </row>
    <row r="89" spans="1:8" ht="15" customHeight="1" thickBot="1" x14ac:dyDescent="0.25">
      <c r="A89" s="140" t="s">
        <v>172</v>
      </c>
      <c r="B89" s="140"/>
      <c r="C89" s="276"/>
      <c r="D89" s="31"/>
      <c r="E89" s="33"/>
      <c r="F89" s="290"/>
    </row>
    <row r="90" spans="1:8" ht="13.5" hidden="1" thickBot="1" x14ac:dyDescent="0.25">
      <c r="A90" s="140" t="s">
        <v>171</v>
      </c>
      <c r="B90" s="140"/>
      <c r="C90" s="61"/>
      <c r="D90" s="23" t="s">
        <v>146</v>
      </c>
      <c r="E90" s="23" t="s">
        <v>145</v>
      </c>
      <c r="F90" s="10"/>
    </row>
    <row r="91" spans="1:8" ht="13.5" hidden="1" thickBot="1" x14ac:dyDescent="0.25">
      <c r="A91" s="140" t="s">
        <v>171</v>
      </c>
      <c r="B91" s="140"/>
      <c r="C91" s="54" t="s">
        <v>22</v>
      </c>
      <c r="D91" s="35" cm="1">
        <f t="array" ref="D91">INDEX(Barème!$B$5:$XFD$9232,_xlfn.XMATCH('Calcul-Subv-GS'!$D90,Barème!$B$5:$B$9232),_xlfn.XMATCH(F$15,Barème!$B$4:$XFD$4))</f>
        <v>0.33339999999999997</v>
      </c>
      <c r="E91" s="197" cm="1">
        <f t="array" ref="E91">INDEX(Barème!$B$5:$XFD$9232,_xlfn.XMATCH('Calcul-Subv-GS'!$E90,Barème!$B$5:$B$9232),_xlfn.XMATCH(F$15,Barème!$B$4:$XFD$4))</f>
        <v>0.2</v>
      </c>
      <c r="F91" s="7"/>
    </row>
    <row r="92" spans="1:8" s="173" customFormat="1" ht="44.25" customHeight="1" thickBot="1" x14ac:dyDescent="0.25">
      <c r="A92" s="140" t="s">
        <v>172</v>
      </c>
      <c r="B92" s="344"/>
      <c r="C92" s="310" t="s">
        <v>293</v>
      </c>
      <c r="D92" s="189"/>
      <c r="E92" s="63"/>
      <c r="F92" s="384"/>
      <c r="H92" s="362" t="s">
        <v>222</v>
      </c>
    </row>
    <row r="93" spans="1:8" ht="13.5" hidden="1" thickBot="1" x14ac:dyDescent="0.25">
      <c r="A93" s="140" t="s">
        <v>171</v>
      </c>
      <c r="B93" s="140"/>
      <c r="C93" s="16" t="s">
        <v>21</v>
      </c>
      <c r="D93" s="32"/>
      <c r="E93" s="63"/>
      <c r="F93" s="196">
        <f>IF(F$64=D$67,0,ROUND(IF(F92&lt;$D$91,F92-$D$91,0),4))</f>
        <v>-0.33339999999999997</v>
      </c>
    </row>
    <row r="94" spans="1:8" ht="22.5" customHeight="1" thickBot="1" x14ac:dyDescent="0.25">
      <c r="A94" s="140" t="s">
        <v>172</v>
      </c>
      <c r="B94" s="140"/>
      <c r="C94" s="311" t="s">
        <v>251</v>
      </c>
      <c r="E94" s="63"/>
      <c r="F94" s="287">
        <f>ROUND(IF(F93*F80&lt;0,F93*F80*$E$91,0),0)</f>
        <v>0</v>
      </c>
      <c r="H94" s="363" t="str">
        <f>IF($F$64=D67,"Aucun ajustement n'est calculé pour la première année",+"Ajustement lorsque votre taux est inférieur à "&amp;D91*100&amp;" %")</f>
        <v>Ajustement lorsque votre taux est inférieur à 33,34 %</v>
      </c>
    </row>
    <row r="95" spans="1:8" ht="13.5" thickBot="1" x14ac:dyDescent="0.25">
      <c r="A95" s="140" t="s">
        <v>172</v>
      </c>
      <c r="B95" s="140"/>
      <c r="C95" s="276"/>
      <c r="E95" s="63"/>
      <c r="F95" s="290"/>
    </row>
    <row r="96" spans="1:8" ht="13.5" hidden="1" thickBot="1" x14ac:dyDescent="0.25">
      <c r="A96" s="140" t="s">
        <v>171</v>
      </c>
      <c r="B96" s="140"/>
      <c r="C96" s="3"/>
      <c r="D96" s="23" t="s">
        <v>147</v>
      </c>
      <c r="E96" s="23" t="s">
        <v>148</v>
      </c>
      <c r="F96" s="7"/>
    </row>
    <row r="97" spans="1:8" ht="13.5" hidden="1" thickBot="1" x14ac:dyDescent="0.25">
      <c r="A97" s="140" t="s">
        <v>171</v>
      </c>
      <c r="B97" s="140"/>
      <c r="C97" s="54" t="s">
        <v>29</v>
      </c>
      <c r="D97" s="42" cm="1">
        <f t="array" ref="D97">INDEX(Barème!$B$5:$XFD$9232,_xlfn.XMATCH('Calcul-Subv-GS'!$D96,Barème!$B$5:$B$9232),_xlfn.XMATCH(F$15,Barème!$B$4:$XFD$4))</f>
        <v>1.02</v>
      </c>
      <c r="E97" s="198" cm="1">
        <f t="array" ref="E97">INDEX(Barème!$B$5:$XFD$9232,_xlfn.XMATCH('Calcul-Subv-GS'!$E96,Barème!$B$5:$B$9232),_xlfn.XMATCH(F$15,Barème!$B$4:$XFD$4))</f>
        <v>0.4</v>
      </c>
      <c r="F97" s="7"/>
    </row>
    <row r="98" spans="1:8" ht="27.75" thickBot="1" x14ac:dyDescent="0.25">
      <c r="A98" s="140" t="s">
        <v>172</v>
      </c>
      <c r="B98" s="140"/>
      <c r="C98" s="312" t="s">
        <v>294</v>
      </c>
      <c r="D98" s="44"/>
      <c r="E98" s="199"/>
      <c r="F98" s="385"/>
      <c r="H98" s="370" t="str">
        <f>+"Si vous n'avez pas cette information et avez de la difficulté à l'estimer, le seuil des règles budgétaires est de "&amp;D97&amp;"."</f>
        <v>Si vous n'avez pas cette information et avez de la difficulté à l'estimer, le seuil des règles budgétaires est de 1,02.</v>
      </c>
    </row>
    <row r="99" spans="1:8" ht="13.5" hidden="1" thickBot="1" x14ac:dyDescent="0.25">
      <c r="A99" s="140" t="s">
        <v>171</v>
      </c>
      <c r="B99" s="140"/>
      <c r="C99" s="16" t="s">
        <v>30</v>
      </c>
      <c r="E99" s="63"/>
      <c r="F99" s="200">
        <f>IF(F$64=$D$67,0,ROUND(F98-$D$97,4))</f>
        <v>-1.02</v>
      </c>
    </row>
    <row r="100" spans="1:8" ht="20.25" customHeight="1" thickBot="1" x14ac:dyDescent="0.25">
      <c r="A100" s="140" t="s">
        <v>172</v>
      </c>
      <c r="B100" s="140"/>
      <c r="C100" s="311" t="s">
        <v>252</v>
      </c>
      <c r="E100" s="63"/>
      <c r="F100" s="287">
        <f>ROUND(IF(F99&lt;0,F99*F80*$E$97,0),0)</f>
        <v>0</v>
      </c>
      <c r="H100" s="399" t="str">
        <f>IF($F$64=D67,"Aucun ajustement n'est calculé pour la première année",+"Ajustement lorsque votre taux est inférieur à "&amp;D97)</f>
        <v>Ajustement lorsque votre taux est inférieur à 1,02</v>
      </c>
    </row>
    <row r="101" spans="1:8" ht="13.5" thickBot="1" x14ac:dyDescent="0.25">
      <c r="A101" s="140" t="s">
        <v>172</v>
      </c>
      <c r="B101" s="140"/>
      <c r="C101" s="277"/>
      <c r="E101" s="63"/>
      <c r="F101" s="288"/>
    </row>
    <row r="102" spans="1:8" ht="13.5" thickBot="1" x14ac:dyDescent="0.25">
      <c r="A102" s="140" t="s">
        <v>172</v>
      </c>
      <c r="B102" s="140"/>
      <c r="C102" s="281" t="s">
        <v>260</v>
      </c>
      <c r="D102" s="185"/>
      <c r="E102" s="185"/>
      <c r="F102" s="53">
        <f>F80+F88+F94+F100</f>
        <v>0</v>
      </c>
    </row>
    <row r="103" spans="1:8" ht="13.5" thickBot="1" x14ac:dyDescent="0.25">
      <c r="A103" s="140" t="s">
        <v>172</v>
      </c>
      <c r="B103" s="140"/>
      <c r="C103" s="278"/>
      <c r="D103" s="38"/>
      <c r="E103" s="38"/>
      <c r="F103" s="142"/>
    </row>
    <row r="104" spans="1:8" ht="13.5" hidden="1" thickBot="1" x14ac:dyDescent="0.25">
      <c r="A104" s="140" t="s">
        <v>171</v>
      </c>
      <c r="B104" s="140"/>
      <c r="C104" s="74" t="s">
        <v>296</v>
      </c>
      <c r="D104" s="201"/>
      <c r="E104" s="201"/>
      <c r="F104" s="4"/>
    </row>
    <row r="105" spans="1:8" ht="13.5" hidden="1" thickBot="1" x14ac:dyDescent="0.25">
      <c r="A105" s="140" t="s">
        <v>171</v>
      </c>
      <c r="B105" s="140"/>
      <c r="C105" s="16" t="s">
        <v>7</v>
      </c>
      <c r="D105" s="202" cm="1">
        <f t="array" ref="D105">INDEX(Barème!$C$5:$XFD$9232,_xlfn.XMATCH('Calcul-Subv-GS'!$C105,Barème!$A$5:$A$9232),_xlfn.XMATCH('Calcul-Subv-GS'!$F$15,Barème!$C$4:$XFD$4))</f>
        <v>8.68</v>
      </c>
      <c r="E105" s="63"/>
      <c r="F105" s="7">
        <f>ROUND($D$105*F$33,0)</f>
        <v>0</v>
      </c>
    </row>
    <row r="106" spans="1:8" ht="13.5" hidden="1" thickBot="1" x14ac:dyDescent="0.25">
      <c r="A106" s="140" t="s">
        <v>171</v>
      </c>
      <c r="B106" s="140"/>
      <c r="C106" s="16" t="s">
        <v>8</v>
      </c>
      <c r="D106" s="202" cm="1">
        <f t="array" ref="D106">INDEX(Barème!$C$5:$XFD$9232,_xlfn.XMATCH('Calcul-Subv-GS'!$C106,Barème!$A$5:$A$9232),_xlfn.XMATCH('Calcul-Subv-GS'!$F$15,Barème!$C$4:$XFD$4))</f>
        <v>1.1200000000000001</v>
      </c>
      <c r="E106" s="63"/>
      <c r="F106" s="7">
        <f>IF(F33=0,0,IF(F33&gt;=(F24*80),0,ROUND((F24*80-F$33+F212)*$D$106,0)))</f>
        <v>0</v>
      </c>
    </row>
    <row r="107" spans="1:8" ht="13.5" hidden="1" thickBot="1" x14ac:dyDescent="0.25">
      <c r="A107" s="140" t="s">
        <v>171</v>
      </c>
      <c r="B107" s="140"/>
      <c r="C107" s="3"/>
      <c r="E107" s="63"/>
      <c r="F107" s="4"/>
    </row>
    <row r="108" spans="1:8" ht="13.5" thickBot="1" x14ac:dyDescent="0.25">
      <c r="A108" s="140" t="s">
        <v>172</v>
      </c>
      <c r="B108" s="140"/>
      <c r="C108" s="281" t="s">
        <v>239</v>
      </c>
      <c r="D108" s="185"/>
      <c r="E108" s="185"/>
      <c r="F108" s="53">
        <f>F105+F106</f>
        <v>0</v>
      </c>
    </row>
    <row r="109" spans="1:8" ht="13.5" hidden="1" thickBot="1" x14ac:dyDescent="0.25">
      <c r="A109" s="140" t="s">
        <v>171</v>
      </c>
      <c r="B109" s="140"/>
      <c r="C109" s="17"/>
      <c r="D109" s="44"/>
      <c r="E109" s="45"/>
      <c r="F109" s="39"/>
    </row>
    <row r="110" spans="1:8" ht="13.5" hidden="1" thickBot="1" x14ac:dyDescent="0.25">
      <c r="A110" s="140" t="s">
        <v>171</v>
      </c>
      <c r="B110" s="140"/>
      <c r="C110" s="17"/>
      <c r="D110" s="40" t="s">
        <v>32</v>
      </c>
      <c r="E110" s="40" t="s">
        <v>31</v>
      </c>
      <c r="F110" s="39"/>
    </row>
    <row r="111" spans="1:8" ht="13.5" hidden="1" thickBot="1" x14ac:dyDescent="0.25">
      <c r="A111" s="140" t="s">
        <v>171</v>
      </c>
      <c r="B111" s="140"/>
      <c r="C111" s="225" t="s">
        <v>263</v>
      </c>
      <c r="D111" s="203" cm="1">
        <f t="array" ref="D111">INDEX(Barème!$B$5:$XFD$9232,_xlfn.XMATCH('Calcul-Subv-GS'!$C112,Barème!$B$5:$B$9232),_xlfn.XMATCH(F$15,Barème!$B$4:$XFD$4))</f>
        <v>2358.1999999999998</v>
      </c>
      <c r="E111" s="203" cm="1">
        <f t="array" ref="E111">INDEX(Barème!$B$5:$XFD$9232,_xlfn.XMATCH('Calcul-Subv-GS'!$C113,Barème!$B$5:$B$9232),_xlfn.XMATCH(F$15,Barème!$B$4:$XFD$4))</f>
        <v>2078.42</v>
      </c>
      <c r="F111" s="3"/>
    </row>
    <row r="112" spans="1:8" ht="13.5" hidden="1" thickBot="1" x14ac:dyDescent="0.25">
      <c r="A112" s="140" t="s">
        <v>171</v>
      </c>
      <c r="B112" s="140"/>
      <c r="C112" s="3" t="s">
        <v>4</v>
      </c>
      <c r="E112" s="63"/>
      <c r="F112" s="7">
        <f>IF(F$22&lt;61,ROUND($D$111*F$22,0),0)</f>
        <v>0</v>
      </c>
    </row>
    <row r="113" spans="1:8" ht="13.5" hidden="1" thickBot="1" x14ac:dyDescent="0.25">
      <c r="A113" s="140" t="s">
        <v>171</v>
      </c>
      <c r="B113" s="140"/>
      <c r="C113" s="25" t="s">
        <v>5</v>
      </c>
      <c r="D113" s="204"/>
      <c r="E113" s="204"/>
      <c r="F113" s="7">
        <f>IF(F$22&gt;60,ROUND((+F$22-60)*$E$111+($D$111*60),0),0)</f>
        <v>0</v>
      </c>
    </row>
    <row r="114" spans="1:8" ht="13.5" hidden="1" thickBot="1" x14ac:dyDescent="0.25">
      <c r="A114" s="140" t="s">
        <v>171</v>
      </c>
      <c r="B114" s="140"/>
      <c r="C114" s="20" t="s">
        <v>70</v>
      </c>
      <c r="D114" s="63"/>
      <c r="E114" s="63"/>
      <c r="F114" s="10">
        <f>F113+F112</f>
        <v>0</v>
      </c>
    </row>
    <row r="115" spans="1:8" s="173" customFormat="1" ht="72.75" hidden="1" customHeight="1" x14ac:dyDescent="0.2">
      <c r="A115" s="140" t="s">
        <v>171</v>
      </c>
      <c r="B115" s="140"/>
      <c r="C115" s="216" t="s">
        <v>264</v>
      </c>
      <c r="D115" s="427" t="s">
        <v>265</v>
      </c>
      <c r="E115" s="431"/>
      <c r="F115" s="217">
        <v>0</v>
      </c>
    </row>
    <row r="116" spans="1:8" ht="13.5" hidden="1" thickBot="1" x14ac:dyDescent="0.25">
      <c r="A116" s="140" t="s">
        <v>171</v>
      </c>
      <c r="B116" s="140"/>
      <c r="C116" s="3" t="s">
        <v>69</v>
      </c>
      <c r="D116" s="63"/>
      <c r="E116" s="63"/>
      <c r="F116" s="19">
        <f>IF(F115=0,0,ROUND(-F115/F24*F114,0))</f>
        <v>0</v>
      </c>
    </row>
    <row r="117" spans="1:8" s="44" customFormat="1" ht="13.5" thickBot="1" x14ac:dyDescent="0.25">
      <c r="A117" s="140" t="s">
        <v>172</v>
      </c>
      <c r="B117" s="140"/>
      <c r="C117" s="278"/>
      <c r="D117" s="45"/>
      <c r="E117" s="45"/>
      <c r="F117" s="291"/>
    </row>
    <row r="118" spans="1:8" ht="13.5" thickBot="1" x14ac:dyDescent="0.25">
      <c r="A118" s="140" t="s">
        <v>172</v>
      </c>
      <c r="B118" s="140"/>
      <c r="C118" s="281" t="s">
        <v>240</v>
      </c>
      <c r="D118" s="185"/>
      <c r="E118" s="185"/>
      <c r="F118" s="53">
        <f>F114+F116</f>
        <v>0</v>
      </c>
    </row>
    <row r="119" spans="1:8" s="44" customFormat="1" ht="13.5" thickBot="1" x14ac:dyDescent="0.25">
      <c r="A119" s="140" t="s">
        <v>172</v>
      </c>
      <c r="B119" s="140"/>
      <c r="C119" s="231"/>
      <c r="D119" s="45"/>
      <c r="E119" s="45"/>
      <c r="F119" s="292"/>
    </row>
    <row r="120" spans="1:8" s="44" customFormat="1" ht="13.5" hidden="1" thickBot="1" x14ac:dyDescent="0.25">
      <c r="A120" s="140" t="s">
        <v>171</v>
      </c>
      <c r="B120" s="140"/>
      <c r="C120" s="236"/>
      <c r="D120" s="403" t="s">
        <v>151</v>
      </c>
      <c r="E120" s="403" t="s">
        <v>266</v>
      </c>
      <c r="F120" s="245"/>
    </row>
    <row r="121" spans="1:8" ht="13.5" thickBot="1" x14ac:dyDescent="0.25">
      <c r="A121" s="140" t="s">
        <v>172</v>
      </c>
      <c r="B121" s="140"/>
      <c r="C121" s="313" t="s">
        <v>33</v>
      </c>
      <c r="D121" s="402" cm="1">
        <f t="array" ref="D121">INDEX(Barème!$B$5:$XFD$9232,_xlfn.XMATCH('Calcul-Subv-GS'!$D120,Barème!$B$5:$B$9232),_xlfn.XMATCH(F$15,Barème!$B$4:$XFD$4))</f>
        <v>822.98</v>
      </c>
      <c r="E121" s="402" cm="1">
        <f t="array" ref="E121">INDEX(Barème!$B$5:$XFD$9232,_xlfn.XMATCH('Calcul-Subv-GS'!$E120,Barème!$B$5:$B$9232),_xlfn.XMATCH(F$15,Barème!$B$4:$XFD$4))</f>
        <v>1790</v>
      </c>
      <c r="F121" s="293"/>
    </row>
    <row r="122" spans="1:8" s="44" customFormat="1" hidden="1" x14ac:dyDescent="0.2">
      <c r="A122" s="140" t="s">
        <v>171</v>
      </c>
      <c r="B122" s="140"/>
      <c r="D122" s="405" t="s">
        <v>286</v>
      </c>
      <c r="E122" s="294" t="str">
        <f>+IF(F$64=$D$69,"Oui","non")</f>
        <v>Oui</v>
      </c>
    </row>
    <row r="123" spans="1:8" s="44" customFormat="1" ht="6" customHeight="1" x14ac:dyDescent="0.2">
      <c r="A123" s="140" t="s">
        <v>172</v>
      </c>
      <c r="B123" s="140"/>
      <c r="C123" s="334"/>
      <c r="D123" s="52"/>
      <c r="E123" s="52"/>
      <c r="F123" s="335"/>
    </row>
    <row r="124" spans="1:8" ht="26.25" thickBot="1" x14ac:dyDescent="0.25">
      <c r="A124" s="140" t="s">
        <v>172</v>
      </c>
      <c r="B124" s="140"/>
      <c r="C124" s="406" t="str">
        <f>+IF(F64=D69,"Indiquez les frais reliés aux locaux pour l'exercice financier précédant de 2 ans celui sélectionné", "Vous n'avez pas besoin d'indiquer de montant dans cette case")</f>
        <v>Indiquez les frais reliés aux locaux pour l'exercice financier précédant de 2 ans celui sélectionné</v>
      </c>
      <c r="D124" s="180"/>
      <c r="E124" s="180"/>
      <c r="F124" s="386"/>
      <c r="H124" s="363" t="s">
        <v>300</v>
      </c>
    </row>
    <row r="125" spans="1:8" ht="13.5" hidden="1" thickBot="1" x14ac:dyDescent="0.25">
      <c r="A125" s="140" t="s">
        <v>171</v>
      </c>
      <c r="B125" s="140"/>
      <c r="C125" s="18" t="s">
        <v>34</v>
      </c>
      <c r="D125" s="174"/>
      <c r="E125" s="174"/>
      <c r="F125" s="246">
        <f>ROUND($D$121*F$22,0)</f>
        <v>0</v>
      </c>
    </row>
    <row r="126" spans="1:8" ht="13.5" hidden="1" thickBot="1" x14ac:dyDescent="0.25">
      <c r="A126" s="140" t="s">
        <v>171</v>
      </c>
      <c r="B126" s="140"/>
      <c r="C126" s="3" t="s">
        <v>37</v>
      </c>
      <c r="D126" s="34" t="s">
        <v>40</v>
      </c>
      <c r="E126" s="34" t="s">
        <v>41</v>
      </c>
      <c r="F126" s="400">
        <f>IF(F22=0,0,IF(E122="non",0,ROUND(F124/F22/$E$121,4)))</f>
        <v>0</v>
      </c>
    </row>
    <row r="127" spans="1:8" ht="13.5" hidden="1" thickBot="1" x14ac:dyDescent="0.25">
      <c r="A127" s="140" t="s">
        <v>171</v>
      </c>
      <c r="B127" s="140"/>
      <c r="C127" s="3" t="s">
        <v>39</v>
      </c>
      <c r="D127" s="43" cm="1">
        <f t="array" ref="D127">INDEX(Barème!$B$5:$XFD$9232,_xlfn.XMATCH('Calcul-Subv-GS'!$D126,Barème!$B$5:$B$9232),_xlfn.XMATCH(F$15,Barème!$B$4:$XFD$4))</f>
        <v>0.57999999999999996</v>
      </c>
      <c r="E127" s="45"/>
      <c r="F127" s="247">
        <f>IF(E122="non",0,ROUND(IF(F126&lt;$D$127,$D$127,0),2))</f>
        <v>0.57999999999999996</v>
      </c>
    </row>
    <row r="128" spans="1:8" ht="13.5" hidden="1" thickBot="1" x14ac:dyDescent="0.25">
      <c r="A128" s="140" t="s">
        <v>171</v>
      </c>
      <c r="B128" s="140"/>
      <c r="C128" s="3" t="s">
        <v>38</v>
      </c>
      <c r="D128" s="45"/>
      <c r="E128" s="43" cm="1">
        <f t="array" ref="E128">INDEX(Barème!$B$5:$XFD$9232,_xlfn.XMATCH('Calcul-Subv-GS'!$E126,Barème!$B$5:$B$9232),_xlfn.XMATCH(F$15,Barème!$B$4:$XFD$4))</f>
        <v>1.39</v>
      </c>
      <c r="F128" s="247">
        <f>IF(E122="non",0,ROUND(IF(F126&gt;$E$128,$E$128,0),2))</f>
        <v>0</v>
      </c>
    </row>
    <row r="129" spans="1:8" ht="13.5" hidden="1" thickBot="1" x14ac:dyDescent="0.25">
      <c r="A129" s="140" t="s">
        <v>171</v>
      </c>
      <c r="B129" s="140"/>
      <c r="C129" s="3" t="s">
        <v>42</v>
      </c>
      <c r="D129" s="45"/>
      <c r="E129" s="45"/>
      <c r="F129" s="401">
        <f>+IF(E122="non",1,ROUND(IF((F127+F128)&gt;0,F127+F128,F126),4))</f>
        <v>0.57999999999999996</v>
      </c>
    </row>
    <row r="130" spans="1:8" ht="13.5" hidden="1" thickBot="1" x14ac:dyDescent="0.25">
      <c r="A130" s="140" t="s">
        <v>171</v>
      </c>
      <c r="B130" s="140"/>
      <c r="C130" s="3" t="s">
        <v>36</v>
      </c>
      <c r="D130" s="34" t="s">
        <v>35</v>
      </c>
      <c r="E130" s="70" cm="1">
        <f t="array" ref="E130">INDEX(Barème!$B$5:$XFD$9232,_xlfn.XMATCH('Calcul-Subv-GS'!$D130,Barème!$B$5:$B$9232),_xlfn.XMATCH(F$15,Barème!$B$4:$XFD$4))</f>
        <v>15275</v>
      </c>
      <c r="F130" s="248">
        <f>ROUND(MAX(F125*F129,$E$130),0)</f>
        <v>15275</v>
      </c>
    </row>
    <row r="131" spans="1:8" ht="13.5" hidden="1" thickBot="1" x14ac:dyDescent="0.25">
      <c r="A131" s="140" t="s">
        <v>171</v>
      </c>
      <c r="B131" s="140"/>
      <c r="C131" s="3" t="s">
        <v>43</v>
      </c>
      <c r="D131" s="63" t="s">
        <v>267</v>
      </c>
      <c r="E131" s="63"/>
      <c r="F131" s="247">
        <f>F115</f>
        <v>0</v>
      </c>
    </row>
    <row r="132" spans="1:8" ht="13.5" hidden="1" thickBot="1" x14ac:dyDescent="0.25">
      <c r="A132" s="140" t="s">
        <v>171</v>
      </c>
      <c r="B132" s="140"/>
      <c r="C132" s="3" t="s">
        <v>44</v>
      </c>
      <c r="D132" s="52"/>
      <c r="E132" s="63"/>
      <c r="F132" s="249">
        <f>+ROUND(F130-(F131/F24*F130),0)</f>
        <v>15275</v>
      </c>
    </row>
    <row r="133" spans="1:8" ht="13.5" hidden="1" customHeight="1" thickBot="1" x14ac:dyDescent="0.25">
      <c r="A133" s="140" t="s">
        <v>171</v>
      </c>
      <c r="B133" s="140"/>
      <c r="C133" s="12"/>
      <c r="D133" s="52"/>
      <c r="E133" s="63"/>
      <c r="F133" s="247"/>
    </row>
    <row r="134" spans="1:8" ht="13.5" thickBot="1" x14ac:dyDescent="0.25">
      <c r="A134" s="140" t="s">
        <v>172</v>
      </c>
      <c r="B134" s="140"/>
      <c r="C134" s="281" t="s">
        <v>241</v>
      </c>
      <c r="D134" s="57"/>
      <c r="E134" s="185"/>
      <c r="F134" s="58">
        <f>IF(F125=0,0,+F132)</f>
        <v>0</v>
      </c>
    </row>
    <row r="135" spans="1:8" s="44" customFormat="1" ht="13.5" hidden="1" thickBot="1" x14ac:dyDescent="0.25">
      <c r="A135" s="223" t="s">
        <v>171</v>
      </c>
      <c r="B135" s="223"/>
      <c r="C135" s="17"/>
      <c r="D135" s="52"/>
      <c r="E135" s="45"/>
      <c r="F135" s="79"/>
    </row>
    <row r="136" spans="1:8" ht="13.5" thickBot="1" x14ac:dyDescent="0.25">
      <c r="A136" s="140" t="s">
        <v>172</v>
      </c>
      <c r="B136" s="140"/>
      <c r="C136" s="283"/>
      <c r="D136" s="250" t="s">
        <v>45</v>
      </c>
      <c r="E136" s="250" t="s">
        <v>46</v>
      </c>
      <c r="F136" s="284"/>
    </row>
    <row r="137" spans="1:8" ht="13.5" thickBot="1" x14ac:dyDescent="0.25">
      <c r="A137" s="140" t="s">
        <v>172</v>
      </c>
      <c r="B137" s="140"/>
      <c r="C137" s="313" t="s">
        <v>24</v>
      </c>
      <c r="D137" s="222" cm="1">
        <f t="array" ref="D137">INDEX(Barème!$B$5:$XFD$9232,_xlfn.XMATCH('Calcul-Subv-GS'!$D136,Barème!$B$5:$B$9232),_xlfn.XMATCH(F$15,Barème!$B$4:$XFD$4))</f>
        <v>0.9</v>
      </c>
      <c r="E137" s="222" cm="1">
        <f t="array" ref="E137">INDEX(Barème!$B$5:$XFD$9232,_xlfn.XMATCH('Calcul-Subv-GS'!$E136,Barème!$B$5:$B$9232),_xlfn.XMATCH(F$15,Barème!$B$4:$XFD$4))</f>
        <v>0.7</v>
      </c>
      <c r="F137" s="295"/>
    </row>
    <row r="138" spans="1:8" s="44" customFormat="1" ht="64.5" thickBot="1" x14ac:dyDescent="0.25">
      <c r="A138" s="140" t="s">
        <v>172</v>
      </c>
      <c r="B138" s="140"/>
      <c r="C138" s="314" t="s">
        <v>287</v>
      </c>
      <c r="D138" s="251" t="str">
        <f>+Barème!$B$153</f>
        <v>Oui</v>
      </c>
      <c r="E138" s="251" t="str">
        <f>+Barème!$B$154</f>
        <v>Non</v>
      </c>
      <c r="F138" s="387" t="s">
        <v>299</v>
      </c>
      <c r="H138" s="370" t="s">
        <v>224</v>
      </c>
    </row>
    <row r="139" spans="1:8" s="44" customFormat="1" hidden="1" x14ac:dyDescent="0.2">
      <c r="A139" s="140" t="s">
        <v>171</v>
      </c>
      <c r="B139" s="140"/>
      <c r="C139" s="74"/>
      <c r="D139" s="67"/>
      <c r="E139" s="199"/>
      <c r="F139" s="13"/>
    </row>
    <row r="140" spans="1:8" ht="24" hidden="1" x14ac:dyDescent="0.2">
      <c r="A140" s="140" t="s">
        <v>171</v>
      </c>
      <c r="B140" s="140"/>
      <c r="C140" s="72" t="s">
        <v>275</v>
      </c>
      <c r="D140" s="73"/>
      <c r="E140" s="199"/>
      <c r="F140" s="365">
        <f>+IF(F138=D138,0,IF(F138=E138,1,0))</f>
        <v>1</v>
      </c>
    </row>
    <row r="141" spans="1:8" x14ac:dyDescent="0.2">
      <c r="A141" s="140" t="s">
        <v>172</v>
      </c>
      <c r="B141" s="140"/>
      <c r="C141" s="3" t="s">
        <v>227</v>
      </c>
      <c r="D141" s="67"/>
      <c r="E141" s="63"/>
      <c r="F141" s="371">
        <f>IF(F33=0,0,ROUND((IF((F51-$D$137)&lt;0,ROUND((F134+F118)*(F51-$D$137),0),0))*F140,0))</f>
        <v>0</v>
      </c>
      <c r="H141" s="364" t="str">
        <f>IF($F$138=D138,"L'ajustement ne s'applique pas à votre situation",+"Ajustement lorsque votre taux est inférieur à "&amp;D137*100&amp;" %")</f>
        <v>Ajustement lorsque votre taux est inférieur à 90 %</v>
      </c>
    </row>
    <row r="142" spans="1:8" x14ac:dyDescent="0.2">
      <c r="A142" s="140" t="s">
        <v>172</v>
      </c>
      <c r="B142" s="140"/>
      <c r="C142" s="3" t="s">
        <v>228</v>
      </c>
      <c r="D142" s="73" t="s">
        <v>152</v>
      </c>
      <c r="E142" s="198" cm="1">
        <f t="array" ref="E142">INDEX(Barème!$B$5:$XFD$9232,_xlfn.XMATCH('Calcul-Subv-GS'!$D142,Barème!$B$5:$B$9232),_xlfn.XMATCH(F$15,Barème!$B$4:$XFD$4))</f>
        <v>0.5</v>
      </c>
      <c r="F142" s="371">
        <f>IF(F33=0,0,ROUND((IF((F56-$E$137)&lt;0,ROUND(F102*$E$142*(F56-$E$137),0),0))*F140,0))</f>
        <v>0</v>
      </c>
      <c r="H142" s="364" t="str">
        <f>IF($F$138=D138,"L'ajustement ne s'applique pas à votre situation",+"Ajustement lorsque votre taux est inférieur à "&amp;E137*100&amp;" %")</f>
        <v>Ajustement lorsque votre taux est inférieur à 70 %</v>
      </c>
    </row>
    <row r="143" spans="1:8" ht="6.75" customHeight="1" thickBot="1" x14ac:dyDescent="0.25">
      <c r="A143" s="140" t="s">
        <v>172</v>
      </c>
      <c r="B143" s="140"/>
      <c r="C143" s="366"/>
      <c r="D143" s="367"/>
      <c r="E143" s="368"/>
      <c r="F143" s="369"/>
    </row>
    <row r="144" spans="1:8" ht="13.5" thickBot="1" x14ac:dyDescent="0.25">
      <c r="A144" s="140" t="s">
        <v>172</v>
      </c>
      <c r="B144" s="140"/>
      <c r="C144" s="281" t="s">
        <v>242</v>
      </c>
      <c r="D144" s="56"/>
      <c r="E144" s="56"/>
      <c r="F144" s="53">
        <f>ROUND(F141+F142,0)</f>
        <v>0</v>
      </c>
    </row>
    <row r="145" spans="1:6" ht="13.5" hidden="1" thickBot="1" x14ac:dyDescent="0.25">
      <c r="A145" s="140" t="s">
        <v>171</v>
      </c>
      <c r="B145" s="140"/>
      <c r="C145" s="235"/>
      <c r="E145" s="63"/>
      <c r="F145" s="4"/>
    </row>
    <row r="146" spans="1:6" ht="13.5" hidden="1" thickBot="1" x14ac:dyDescent="0.25">
      <c r="A146" s="140" t="s">
        <v>171</v>
      </c>
      <c r="B146" s="140"/>
      <c r="C146" s="228" t="s">
        <v>9</v>
      </c>
      <c r="D146" s="185"/>
      <c r="E146" s="185"/>
      <c r="F146" s="229">
        <f>F102+F108+F118+F134+F144</f>
        <v>0</v>
      </c>
    </row>
    <row r="147" spans="1:6" ht="13.5" thickBot="1" x14ac:dyDescent="0.25">
      <c r="A147" s="140" t="s">
        <v>172</v>
      </c>
      <c r="B147" s="140"/>
      <c r="C147" s="280"/>
      <c r="D147" s="75" t="s">
        <v>268</v>
      </c>
      <c r="E147" s="63"/>
      <c r="F147" s="142"/>
    </row>
    <row r="148" spans="1:6" ht="13.5" hidden="1" thickBot="1" x14ac:dyDescent="0.25">
      <c r="A148" s="140" t="s">
        <v>171</v>
      </c>
      <c r="B148" s="140"/>
      <c r="C148" s="36" t="s">
        <v>25</v>
      </c>
      <c r="D148" s="22" t="s">
        <v>153</v>
      </c>
      <c r="E148" s="23" t="s">
        <v>154</v>
      </c>
      <c r="F148" s="4"/>
    </row>
    <row r="149" spans="1:6" ht="13.5" hidden="1" thickBot="1" x14ac:dyDescent="0.25">
      <c r="A149" s="140" t="s">
        <v>171</v>
      </c>
      <c r="B149" s="140"/>
      <c r="C149" s="3"/>
      <c r="D149" s="205" cm="1">
        <f t="array" ref="D149">INDEX(Barème!$B$5:$XFD$9232,_xlfn.XMATCH('Calcul-Subv-GS'!$D148,Barème!$B$5:$B$9232),_xlfn.XMATCH(F$15,Barème!$B$4:$XFD$4))</f>
        <v>8.85</v>
      </c>
      <c r="E149" s="206" cm="1">
        <f t="array" ref="E149">INDEX(Barème!$B$5:$XFD$9232,_xlfn.XMATCH('Calcul-Subv-GS'!$E148,Barème!$B$5:$B$9232),_xlfn.XMATCH(F$15,Barème!$B$4:$XFD$4))</f>
        <v>9.1</v>
      </c>
      <c r="F149" s="4"/>
    </row>
    <row r="150" spans="1:6" ht="13.5" thickBot="1" x14ac:dyDescent="0.25">
      <c r="A150" s="140" t="s">
        <v>172</v>
      </c>
      <c r="B150" s="140"/>
      <c r="C150" s="281" t="s">
        <v>243</v>
      </c>
      <c r="D150" s="59"/>
      <c r="E150" s="59"/>
      <c r="F150" s="53">
        <f>-ROUND(($D$149*0.75+$E$149*0.25)*F33,0)</f>
        <v>0</v>
      </c>
    </row>
    <row r="151" spans="1:6" hidden="1" x14ac:dyDescent="0.2">
      <c r="A151" s="140" t="s">
        <v>171</v>
      </c>
      <c r="B151" s="140"/>
      <c r="C151" s="236"/>
      <c r="D151" s="267"/>
      <c r="E151" s="268"/>
      <c r="F151" s="39"/>
    </row>
    <row r="152" spans="1:6" ht="13.5" thickBot="1" x14ac:dyDescent="0.25">
      <c r="A152" s="140" t="s">
        <v>172</v>
      </c>
      <c r="B152" s="140"/>
      <c r="C152" s="285"/>
      <c r="E152" s="63"/>
      <c r="F152" s="296"/>
    </row>
    <row r="153" spans="1:6" s="23" customFormat="1" ht="16.5" thickBot="1" x14ac:dyDescent="0.3">
      <c r="A153" s="140" t="s">
        <v>172</v>
      </c>
      <c r="B153" s="140"/>
      <c r="C153" s="315" t="s">
        <v>59</v>
      </c>
      <c r="D153" s="56"/>
      <c r="E153" s="56"/>
      <c r="F153" s="297">
        <f>F146+F150</f>
        <v>0</v>
      </c>
    </row>
    <row r="154" spans="1:6" ht="4.5" customHeight="1" x14ac:dyDescent="0.2">
      <c r="A154" s="140" t="s">
        <v>172</v>
      </c>
      <c r="B154" s="140"/>
      <c r="C154" s="230"/>
      <c r="D154" s="63"/>
      <c r="E154" s="63"/>
      <c r="F154" s="26"/>
    </row>
    <row r="155" spans="1:6" ht="6.75" hidden="1" customHeight="1" thickBot="1" x14ac:dyDescent="0.25">
      <c r="A155" s="140" t="s">
        <v>171</v>
      </c>
      <c r="B155" s="140"/>
      <c r="C155" s="12"/>
      <c r="D155" s="180"/>
      <c r="E155" s="180"/>
      <c r="F155" s="12"/>
    </row>
    <row r="156" spans="1:6" ht="33.75" customHeight="1" thickBot="1" x14ac:dyDescent="0.3">
      <c r="A156" s="140" t="s">
        <v>172</v>
      </c>
      <c r="B156" s="140"/>
      <c r="C156" s="211" t="s">
        <v>143</v>
      </c>
      <c r="D156" s="211"/>
      <c r="E156" s="211"/>
      <c r="F156" s="211"/>
    </row>
    <row r="157" spans="1:6" ht="12" hidden="1" customHeight="1" thickBot="1" x14ac:dyDescent="0.3">
      <c r="A157" s="140" t="s">
        <v>171</v>
      </c>
      <c r="B157" s="140"/>
      <c r="C157" s="211"/>
      <c r="D157" s="211"/>
      <c r="E157" s="211"/>
      <c r="F157" s="211"/>
    </row>
    <row r="158" spans="1:6" ht="13.5" thickBot="1" x14ac:dyDescent="0.25">
      <c r="A158" s="140" t="s">
        <v>172</v>
      </c>
      <c r="B158" s="140"/>
      <c r="C158" s="313" t="s">
        <v>90</v>
      </c>
      <c r="D158" s="239"/>
      <c r="E158" s="239"/>
      <c r="F158" s="298"/>
    </row>
    <row r="159" spans="1:6" hidden="1" x14ac:dyDescent="0.2">
      <c r="A159" s="140" t="s">
        <v>171</v>
      </c>
      <c r="B159" s="140"/>
      <c r="C159" s="74"/>
      <c r="D159" s="63" t="s">
        <v>156</v>
      </c>
      <c r="E159" s="63" t="s">
        <v>155</v>
      </c>
      <c r="F159" s="238"/>
    </row>
    <row r="160" spans="1:6" hidden="1" x14ac:dyDescent="0.2">
      <c r="A160" s="140" t="s">
        <v>171</v>
      </c>
      <c r="B160" s="140"/>
      <c r="C160" s="74"/>
      <c r="D160" s="70" cm="1">
        <f t="array" ref="D160">INDEX(Barème!$B$47:$XFD$9232,_xlfn.XMATCH('Calcul-Subv-GS'!$D159,Barème!$B$47:$B$9232),_xlfn.XMATCH(F$15,Barème!$B$4:$XFD$4))</f>
        <v>2200</v>
      </c>
      <c r="E160" s="70" cm="1">
        <f t="array" ref="E160">INDEX(Barème!$B$47:$XFD$9232,_xlfn.XMATCH('Calcul-Subv-GS'!$E159,Barème!$B$47:$B$9232),_xlfn.XMATCH(F$15,Barème!$B$4:$XFD$4))</f>
        <v>48.98</v>
      </c>
      <c r="F160" s="238"/>
    </row>
    <row r="161" spans="1:9" s="45" customFormat="1" ht="30" hidden="1" customHeight="1" x14ac:dyDescent="0.2">
      <c r="A161" s="140" t="s">
        <v>171</v>
      </c>
      <c r="B161" s="140"/>
      <c r="C161" s="316" t="s">
        <v>269</v>
      </c>
      <c r="D161" s="63" t="s">
        <v>216</v>
      </c>
      <c r="E161" s="63"/>
      <c r="F161" s="358">
        <v>0</v>
      </c>
      <c r="G161" s="427"/>
      <c r="H161" s="226"/>
      <c r="I161" s="226"/>
    </row>
    <row r="162" spans="1:9" s="45" customFormat="1" ht="6" customHeight="1" x14ac:dyDescent="0.2">
      <c r="A162" s="140" t="s">
        <v>172</v>
      </c>
      <c r="B162" s="140"/>
      <c r="C162" s="215"/>
      <c r="D162" s="63"/>
      <c r="E162" s="63"/>
      <c r="F162" s="324"/>
      <c r="G162" s="427"/>
      <c r="H162" s="226"/>
      <c r="I162" s="226"/>
    </row>
    <row r="163" spans="1:9" s="373" customFormat="1" ht="24" customHeight="1" x14ac:dyDescent="0.2">
      <c r="A163" s="344" t="s">
        <v>172</v>
      </c>
      <c r="B163" s="344"/>
      <c r="C163" s="374" t="s">
        <v>232</v>
      </c>
      <c r="D163" s="63"/>
      <c r="E163" s="63"/>
      <c r="F163" s="388"/>
      <c r="G163" s="427"/>
      <c r="H163" s="364" t="str">
        <f>+"Permets de calculer le montant forfaitaire unique de "&amp;LEFT(D160,1)&amp;" "&amp;RIGHT(D160,3)&amp;" $ lors d'une nouvelle admissibilité"</f>
        <v>Permets de calculer le montant forfaitaire unique de 2 200 $ lors d'une nouvelle admissibilité</v>
      </c>
      <c r="I163" s="372"/>
    </row>
    <row r="164" spans="1:9" s="45" customFormat="1" ht="5.25" customHeight="1" x14ac:dyDescent="0.2">
      <c r="A164" s="140" t="s">
        <v>172</v>
      </c>
      <c r="B164" s="140"/>
      <c r="C164" s="215"/>
      <c r="D164" s="63"/>
      <c r="E164" s="63"/>
      <c r="F164" s="324"/>
      <c r="G164" s="427"/>
      <c r="H164" s="226"/>
      <c r="I164" s="226"/>
    </row>
    <row r="165" spans="1:9" s="45" customFormat="1" ht="15" hidden="1" customHeight="1" x14ac:dyDescent="0.2">
      <c r="A165" s="140" t="s">
        <v>171</v>
      </c>
      <c r="B165" s="140"/>
      <c r="C165" s="14" t="s">
        <v>91</v>
      </c>
      <c r="D165" s="52"/>
      <c r="E165" s="52"/>
      <c r="F165" s="266">
        <f>ROUND(D160*F163,2)</f>
        <v>0</v>
      </c>
      <c r="G165" s="427"/>
      <c r="H165" s="226"/>
      <c r="I165" s="226"/>
    </row>
    <row r="166" spans="1:9" s="45" customFormat="1" ht="16.5" customHeight="1" thickBot="1" x14ac:dyDescent="0.25">
      <c r="A166" s="140" t="s">
        <v>172</v>
      </c>
      <c r="B166" s="140"/>
      <c r="C166" s="48" t="s">
        <v>288</v>
      </c>
      <c r="D166" s="63"/>
      <c r="E166" s="63"/>
      <c r="F166" s="389"/>
      <c r="G166" s="427"/>
      <c r="H166" s="226"/>
      <c r="I166" s="226"/>
    </row>
    <row r="167" spans="1:9" s="45" customFormat="1" ht="16.5" hidden="1" customHeight="1" x14ac:dyDescent="0.2">
      <c r="A167" s="140" t="s">
        <v>171</v>
      </c>
      <c r="B167" s="140"/>
      <c r="C167" s="16" t="s">
        <v>306</v>
      </c>
      <c r="D167" s="409" t="s">
        <v>305</v>
      </c>
      <c r="E167" s="63"/>
      <c r="F167" s="410">
        <f>IF(F$33=0,0,ROUND(+F$45/F$33,4))</f>
        <v>0</v>
      </c>
      <c r="G167" s="408"/>
      <c r="H167" s="226"/>
      <c r="I167" s="226"/>
    </row>
    <row r="168" spans="1:9" s="45" customFormat="1" ht="13.5" hidden="1" thickBot="1" x14ac:dyDescent="0.25">
      <c r="A168" s="140" t="s">
        <v>171</v>
      </c>
      <c r="B168" s="140"/>
      <c r="C168" s="16" t="s">
        <v>66</v>
      </c>
      <c r="D168" s="63"/>
      <c r="E168" s="63"/>
      <c r="F168" s="411">
        <f>+ROUND(F166*F167,1)</f>
        <v>0</v>
      </c>
      <c r="G168" s="75"/>
    </row>
    <row r="169" spans="1:9" s="45" customFormat="1" ht="15" hidden="1" customHeight="1" x14ac:dyDescent="0.35">
      <c r="A169" s="140" t="s">
        <v>171</v>
      </c>
      <c r="B169" s="140"/>
      <c r="C169" s="14" t="s">
        <v>270</v>
      </c>
      <c r="D169" s="63"/>
      <c r="E169" s="63"/>
      <c r="F169" s="346">
        <f>ROUND($E$160*F166,0)</f>
        <v>0</v>
      </c>
      <c r="G169" s="75"/>
    </row>
    <row r="170" spans="1:9" ht="7.5" hidden="1" customHeight="1" thickBot="1" x14ac:dyDescent="0.25">
      <c r="A170" s="140" t="s">
        <v>171</v>
      </c>
      <c r="B170" s="140"/>
      <c r="C170" s="14"/>
      <c r="D170" s="63"/>
      <c r="E170" s="63"/>
      <c r="F170" s="238"/>
    </row>
    <row r="171" spans="1:9" ht="13.5" thickBot="1" x14ac:dyDescent="0.25">
      <c r="A171" s="140" t="s">
        <v>172</v>
      </c>
      <c r="B171" s="140"/>
      <c r="C171" s="281" t="s">
        <v>244</v>
      </c>
      <c r="D171" s="56"/>
      <c r="E171" s="56"/>
      <c r="F171" s="60">
        <f>F169+F165</f>
        <v>0</v>
      </c>
    </row>
    <row r="172" spans="1:9" ht="13.5" thickBot="1" x14ac:dyDescent="0.25">
      <c r="A172" s="140" t="s">
        <v>172</v>
      </c>
      <c r="B172" s="140"/>
      <c r="C172" s="230"/>
      <c r="D172" s="174"/>
      <c r="E172" s="174"/>
      <c r="F172" s="24"/>
    </row>
    <row r="173" spans="1:9" ht="13.5" hidden="1" thickBot="1" x14ac:dyDescent="0.25">
      <c r="A173" s="140" t="s">
        <v>171</v>
      </c>
      <c r="B173" s="140"/>
      <c r="C173" s="17" t="s">
        <v>271</v>
      </c>
      <c r="D173" s="34" t="s">
        <v>157</v>
      </c>
      <c r="E173" s="34" t="s">
        <v>158</v>
      </c>
      <c r="F173" s="238"/>
    </row>
    <row r="174" spans="1:9" ht="13.5" hidden="1" thickBot="1" x14ac:dyDescent="0.25">
      <c r="A174" s="140" t="s">
        <v>171</v>
      </c>
      <c r="B174" s="140"/>
      <c r="C174" s="14"/>
      <c r="D174" s="70" cm="1">
        <f t="array" ref="D174">INDEX(Barème!$B$47:$XFD$9232,_xlfn.XMATCH('Calcul-Subv-GS'!$D173,Barème!$B$47:$B$9232),_xlfn.XMATCH(F$15,Barème!$B$4:$XFD$4))</f>
        <v>72.680000000000007</v>
      </c>
      <c r="E174" s="70" cm="1">
        <f t="array" ref="E174">INDEX(Barème!$B$47:$XFD$9232,_xlfn.XMATCH('Calcul-Subv-GS'!$E173,Barème!$B$47:$B$9232),_xlfn.XMATCH(F$15,Barème!$B$4:$XFD$4))</f>
        <v>48.98</v>
      </c>
      <c r="F174" s="233"/>
    </row>
    <row r="175" spans="1:9" s="44" customFormat="1" ht="13.5" hidden="1" thickBot="1" x14ac:dyDescent="0.25">
      <c r="A175" s="223" t="s">
        <v>171</v>
      </c>
      <c r="B175" s="223"/>
      <c r="C175" s="17"/>
      <c r="D175" s="34" t="s">
        <v>160</v>
      </c>
      <c r="E175" s="34" t="s">
        <v>159</v>
      </c>
      <c r="F175" s="233"/>
    </row>
    <row r="176" spans="1:9" s="44" customFormat="1" ht="13.5" hidden="1" thickBot="1" x14ac:dyDescent="0.25">
      <c r="A176" s="223" t="s">
        <v>171</v>
      </c>
      <c r="B176" s="223"/>
      <c r="C176" s="263"/>
      <c r="D176" s="264" cm="1">
        <f t="array" ref="D176">INDEX(Barème!$B$47:$XFD$9232,_xlfn.XMATCH('Calcul-Subv-GS'!$D175,Barème!$B$47:$B$9232),_xlfn.XMATCH(F$15,Barème!$B$4:$XFD$4))</f>
        <v>0.9</v>
      </c>
      <c r="E176" s="264" cm="1">
        <f t="array" ref="E176">INDEX(Barème!$B$47:$XFD$9232,_xlfn.XMATCH('Calcul-Subv-GS'!$E175,Barème!$B$47:$B$9232),_xlfn.XMATCH(F$15,Barème!$B$4:$XFD$4))</f>
        <v>0.05</v>
      </c>
      <c r="F176" s="265"/>
    </row>
    <row r="177" spans="1:8" s="44" customFormat="1" ht="13.5" thickBot="1" x14ac:dyDescent="0.25">
      <c r="A177" s="223" t="s">
        <v>172</v>
      </c>
      <c r="B177" s="223"/>
      <c r="C177" s="313" t="s">
        <v>48</v>
      </c>
      <c r="D177" s="262"/>
      <c r="E177" s="262"/>
      <c r="F177" s="299"/>
    </row>
    <row r="178" spans="1:8" s="44" customFormat="1" ht="13.5" hidden="1" thickBot="1" x14ac:dyDescent="0.25">
      <c r="A178" s="223" t="s">
        <v>171</v>
      </c>
      <c r="B178" s="223"/>
      <c r="C178" s="17"/>
      <c r="D178" s="21"/>
      <c r="E178" s="52"/>
      <c r="F178" s="65"/>
    </row>
    <row r="179" spans="1:8" s="44" customFormat="1" ht="25.5" x14ac:dyDescent="0.2">
      <c r="A179" s="223" t="s">
        <v>172</v>
      </c>
      <c r="B179" s="223"/>
      <c r="C179" s="378" t="s">
        <v>281</v>
      </c>
      <c r="D179" s="260"/>
      <c r="E179" s="260"/>
      <c r="F179" s="300"/>
    </row>
    <row r="180" spans="1:8" hidden="1" x14ac:dyDescent="0.2">
      <c r="A180" s="140" t="s">
        <v>171</v>
      </c>
      <c r="B180" s="140"/>
      <c r="C180" s="232" t="s">
        <v>83</v>
      </c>
      <c r="D180" s="52" t="s">
        <v>303</v>
      </c>
      <c r="E180" s="52"/>
      <c r="F180" s="233"/>
    </row>
    <row r="181" spans="1:8" ht="3.75" hidden="1" customHeight="1" x14ac:dyDescent="0.2">
      <c r="A181" s="140" t="s">
        <v>171</v>
      </c>
      <c r="B181" s="140"/>
      <c r="C181" s="232"/>
      <c r="D181" s="52"/>
      <c r="E181" s="52"/>
      <c r="F181" s="233"/>
    </row>
    <row r="182" spans="1:8" hidden="1" x14ac:dyDescent="0.2">
      <c r="A182" s="140" t="s">
        <v>171</v>
      </c>
      <c r="B182" s="140"/>
      <c r="C182" s="232" t="s">
        <v>84</v>
      </c>
      <c r="D182" s="52" t="s">
        <v>303</v>
      </c>
      <c r="E182" s="52"/>
      <c r="F182" s="233"/>
    </row>
    <row r="183" spans="1:8" ht="5.25" hidden="1" customHeight="1" x14ac:dyDescent="0.2">
      <c r="A183" s="140" t="s">
        <v>171</v>
      </c>
      <c r="B183" s="140"/>
      <c r="C183" s="232"/>
      <c r="D183" s="52"/>
      <c r="E183" s="52"/>
      <c r="F183" s="233"/>
    </row>
    <row r="184" spans="1:8" ht="24" customHeight="1" x14ac:dyDescent="0.2">
      <c r="A184" s="140" t="s">
        <v>172</v>
      </c>
      <c r="B184" s="140"/>
      <c r="C184" s="48" t="s">
        <v>253</v>
      </c>
      <c r="D184" s="63"/>
      <c r="E184" s="63"/>
      <c r="F184" s="390"/>
    </row>
    <row r="185" spans="1:8" ht="5.25" customHeight="1" x14ac:dyDescent="0.2">
      <c r="A185" s="140" t="s">
        <v>172</v>
      </c>
      <c r="B185" s="140"/>
      <c r="C185" s="48"/>
      <c r="D185" s="63"/>
      <c r="E185" s="63"/>
      <c r="F185" s="66"/>
      <c r="H185" s="363"/>
    </row>
    <row r="186" spans="1:8" x14ac:dyDescent="0.2">
      <c r="A186" s="140" t="s">
        <v>172</v>
      </c>
      <c r="B186" s="140"/>
      <c r="C186" s="48" t="s">
        <v>207</v>
      </c>
      <c r="D186" s="63"/>
      <c r="E186" s="63"/>
      <c r="F186" s="390"/>
      <c r="H186" s="363" t="str">
        <f>+IF(F186&gt;F184,"Les jours occupés doivent être inférieurs aux jours réservés","")</f>
        <v/>
      </c>
    </row>
    <row r="187" spans="1:8" hidden="1" x14ac:dyDescent="0.2">
      <c r="A187" s="140" t="s">
        <v>171</v>
      </c>
      <c r="B187" s="140"/>
      <c r="C187" s="49" t="s">
        <v>81</v>
      </c>
      <c r="D187" s="407" t="s">
        <v>213</v>
      </c>
      <c r="E187" s="63" t="s">
        <v>301</v>
      </c>
      <c r="F187" s="237">
        <f>IF(F184-F186&gt;=0,F184-F186,D187)</f>
        <v>0</v>
      </c>
    </row>
    <row r="188" spans="1:8" ht="8.25" customHeight="1" x14ac:dyDescent="0.2">
      <c r="A188" s="140" t="s">
        <v>172</v>
      </c>
      <c r="B188" s="140"/>
      <c r="C188" s="49"/>
      <c r="D188" s="63"/>
      <c r="E188" s="63"/>
      <c r="F188" s="46"/>
    </row>
    <row r="189" spans="1:8" x14ac:dyDescent="0.2">
      <c r="A189" s="140" t="s">
        <v>172</v>
      </c>
      <c r="B189" s="140"/>
      <c r="C189" s="48" t="s">
        <v>255</v>
      </c>
      <c r="D189" s="63"/>
      <c r="E189" s="63"/>
      <c r="F189" s="390"/>
    </row>
    <row r="190" spans="1:8" ht="5.25" customHeight="1" x14ac:dyDescent="0.2">
      <c r="A190" s="140" t="s">
        <v>172</v>
      </c>
      <c r="B190" s="140"/>
      <c r="C190" s="48"/>
      <c r="D190" s="63"/>
      <c r="E190" s="63"/>
      <c r="F190" s="336"/>
    </row>
    <row r="191" spans="1:8" ht="12" customHeight="1" x14ac:dyDescent="0.2">
      <c r="A191" s="140" t="s">
        <v>172</v>
      </c>
      <c r="B191" s="140"/>
      <c r="C191" s="48" t="s">
        <v>254</v>
      </c>
      <c r="D191" s="63"/>
      <c r="E191" s="63"/>
      <c r="F191" s="390"/>
      <c r="H191" s="75" t="str">
        <f>+IF(F191&gt;F189,"Les jours occupés doivent être inférieurs aux jours réservés","")</f>
        <v/>
      </c>
    </row>
    <row r="192" spans="1:8" ht="9" customHeight="1" thickBot="1" x14ac:dyDescent="0.25">
      <c r="A192" s="140" t="s">
        <v>172</v>
      </c>
      <c r="B192" s="140"/>
      <c r="C192" s="48"/>
      <c r="D192" s="63"/>
      <c r="E192" s="63"/>
      <c r="F192" s="336"/>
    </row>
    <row r="193" spans="1:8" ht="13.5" hidden="1" thickBot="1" x14ac:dyDescent="0.25">
      <c r="A193" s="140" t="s">
        <v>171</v>
      </c>
      <c r="B193" s="140"/>
      <c r="C193" s="49" t="s">
        <v>82</v>
      </c>
      <c r="D193" s="407" t="s">
        <v>213</v>
      </c>
      <c r="E193" s="63" t="s">
        <v>301</v>
      </c>
      <c r="F193" s="237">
        <f>IF(F189-F191&gt;=0,F189-F191,D193)</f>
        <v>0</v>
      </c>
    </row>
    <row r="194" spans="1:8" ht="15" hidden="1" customHeight="1" x14ac:dyDescent="0.2">
      <c r="A194" s="140" t="s">
        <v>171</v>
      </c>
      <c r="B194" s="140"/>
      <c r="C194" s="47" t="s">
        <v>47</v>
      </c>
      <c r="D194" s="63"/>
      <c r="E194" s="63"/>
      <c r="F194" s="261">
        <f>IF(F33=0,0,IF(F187=D187,0,IF(F193=D193,0,IF(F51&gt;=$D$176,(F187*$D$174+F193*$E$174),0))))</f>
        <v>0</v>
      </c>
    </row>
    <row r="195" spans="1:8" ht="17.25" hidden="1" customHeight="1" thickBot="1" x14ac:dyDescent="0.25">
      <c r="A195" s="140" t="s">
        <v>171</v>
      </c>
      <c r="B195" s="140"/>
      <c r="C195" s="80" t="s">
        <v>272</v>
      </c>
      <c r="D195" s="63" t="s">
        <v>302</v>
      </c>
      <c r="E195" s="63"/>
      <c r="F195" s="237"/>
    </row>
    <row r="196" spans="1:8" ht="26.25" customHeight="1" thickBot="1" x14ac:dyDescent="0.25">
      <c r="A196" s="140" t="s">
        <v>172</v>
      </c>
      <c r="B196" s="140"/>
      <c r="C196" s="281" t="s">
        <v>48</v>
      </c>
      <c r="D196" s="56"/>
      <c r="E196" s="56"/>
      <c r="F196" s="301">
        <f>ROUND(F194+F195,0)</f>
        <v>0</v>
      </c>
      <c r="H196" s="363" t="str">
        <f>+"Pour être admissible, le taux d'occupation doit être au-delà du seuil de "&amp;D176*100&amp;" %."</f>
        <v>Pour être admissible, le taux d'occupation doit être au-delà du seuil de 90 %.</v>
      </c>
    </row>
    <row r="197" spans="1:8" ht="13.5" thickBot="1" x14ac:dyDescent="0.25">
      <c r="A197" s="140" t="s">
        <v>172</v>
      </c>
      <c r="B197" s="140"/>
      <c r="C197" s="350"/>
      <c r="E197" s="63"/>
      <c r="F197" s="302"/>
    </row>
    <row r="198" spans="1:8" x14ac:dyDescent="0.2">
      <c r="A198" s="140" t="s">
        <v>172</v>
      </c>
      <c r="B198" s="140"/>
      <c r="C198" s="351" t="s">
        <v>215</v>
      </c>
      <c r="D198" s="352" t="s">
        <v>153</v>
      </c>
      <c r="E198" s="250" t="s">
        <v>154</v>
      </c>
      <c r="F198" s="353"/>
    </row>
    <row r="199" spans="1:8" ht="13.5" thickBot="1" x14ac:dyDescent="0.25">
      <c r="A199" s="140" t="s">
        <v>172</v>
      </c>
      <c r="B199" s="140"/>
      <c r="C199" s="317" t="s">
        <v>231</v>
      </c>
      <c r="D199" s="206" cm="1">
        <f t="array" ref="D199">INDEX(Barème!$B$5:$XFD$9232,_xlfn.XMATCH('Calcul-Subv-GS'!$D198,Barème!$B$5:$B$9232),_xlfn.XMATCH(F$15,Barème!$B$4:$XFD$4))</f>
        <v>8.85</v>
      </c>
      <c r="E199" s="206" cm="1">
        <f t="array" ref="E199">INDEX(Barème!$B$5:$XFD$9232,_xlfn.XMATCH('Calcul-Subv-GS'!$E198,Barème!$B$5:$B$9232),_xlfn.XMATCH(F$15,Barème!$B$4:$XFD$4))</f>
        <v>9.1</v>
      </c>
      <c r="F199" s="391"/>
    </row>
    <row r="200" spans="1:8" ht="13.5" thickBot="1" x14ac:dyDescent="0.25">
      <c r="A200" s="140" t="s">
        <v>172</v>
      </c>
      <c r="B200" s="140"/>
      <c r="C200" s="281" t="s">
        <v>245</v>
      </c>
      <c r="D200" s="59"/>
      <c r="E200" s="59"/>
      <c r="F200" s="53">
        <f>ROUND((D199*0.75+E199*0.25)*F199,0)</f>
        <v>0</v>
      </c>
    </row>
    <row r="201" spans="1:8" ht="13.5" thickBot="1" x14ac:dyDescent="0.25">
      <c r="A201" s="140" t="s">
        <v>172</v>
      </c>
      <c r="B201" s="140"/>
      <c r="C201" s="321"/>
      <c r="E201" s="63"/>
      <c r="F201" s="302"/>
    </row>
    <row r="202" spans="1:8" ht="13.5" thickBot="1" x14ac:dyDescent="0.25">
      <c r="A202" s="140" t="s">
        <v>172</v>
      </c>
      <c r="B202" s="140"/>
      <c r="C202" s="313" t="s">
        <v>289</v>
      </c>
      <c r="D202" s="239"/>
      <c r="E202" s="239"/>
      <c r="F202" s="303"/>
    </row>
    <row r="203" spans="1:8" ht="13.5" hidden="1" thickBot="1" x14ac:dyDescent="0.25">
      <c r="A203" s="140" t="s">
        <v>171</v>
      </c>
      <c r="B203" s="140"/>
      <c r="C203" s="279" t="s">
        <v>273</v>
      </c>
      <c r="D203" s="41" t="s">
        <v>51</v>
      </c>
      <c r="E203" s="41" t="s">
        <v>49</v>
      </c>
      <c r="F203" s="354">
        <f>F199</f>
        <v>0</v>
      </c>
    </row>
    <row r="204" spans="1:8" ht="13.5" hidden="1" thickBot="1" x14ac:dyDescent="0.25">
      <c r="A204" s="140" t="s">
        <v>171</v>
      </c>
      <c r="B204" s="140"/>
      <c r="C204" s="50" t="s">
        <v>274</v>
      </c>
      <c r="D204" s="259" cm="1">
        <f t="array" ref="D204">INDEX(Barème!$B$47:$XFD$9232,_xlfn.XMATCH('Calcul-Subv-GS'!$D203,Barème!$B$47:$B$9232),_xlfn.XMATCH(F$15,Barème!$B$4:$XFD$4))</f>
        <v>0.08</v>
      </c>
      <c r="E204" s="207" cm="1">
        <f t="array" ref="E204">INDEX(Barème!$B$47:$XFD$9232,_xlfn.XMATCH('Calcul-Subv-GS'!$E203,Barème!$B$47:$B$9232),_xlfn.XMATCH(F$15,Barème!$B$4:$XFD$4))</f>
        <v>0.03</v>
      </c>
      <c r="F204" s="376" t="e">
        <f>IF($D$204&lt;=F203/F33,F203/F33,0)</f>
        <v>#DIV/0!</v>
      </c>
    </row>
    <row r="205" spans="1:8" ht="13.5" hidden="1" thickBot="1" x14ac:dyDescent="0.25">
      <c r="A205" s="140" t="s">
        <v>171</v>
      </c>
      <c r="B205" s="140"/>
      <c r="C205" s="50" t="s">
        <v>53</v>
      </c>
      <c r="D205" s="34" t="s">
        <v>52</v>
      </c>
      <c r="E205" s="41" t="s">
        <v>50</v>
      </c>
      <c r="F205" s="233" t="e">
        <f>ROUND(IF(MIN(F204,$D$206)&gt;=$D$204,ROUND($E$204*F146+$E$206*(MIN(F204,$D$206)-$D$204)*F146*100,0),0),0)</f>
        <v>#DIV/0!</v>
      </c>
    </row>
    <row r="206" spans="1:8" ht="13.5" hidden="1" thickBot="1" x14ac:dyDescent="0.25">
      <c r="A206" s="140" t="s">
        <v>171</v>
      </c>
      <c r="B206" s="140"/>
      <c r="C206" s="47"/>
      <c r="D206" s="198" cm="1">
        <f t="array" ref="D206">INDEX(Barème!$B$47:$XFD$9232,_xlfn.XMATCH('Calcul-Subv-GS'!$D205,Barème!$B$47:$B$9232),_xlfn.XMATCH(F$15,Barème!$B$4:$XFD$4))</f>
        <v>0.25</v>
      </c>
      <c r="E206" s="187" cm="1">
        <f t="array" ref="E206">INDEX(Barème!$B$47:$XFD$9232,_xlfn.XMATCH('Calcul-Subv-GS'!$E205,Barème!$B$47:$B$9232),_xlfn.XMATCH(F$15,Barème!$B$4:$XFD$4))</f>
        <v>5.0000000000000001E-3</v>
      </c>
      <c r="F206" s="377"/>
    </row>
    <row r="207" spans="1:8" ht="13.5" hidden="1" thickBot="1" x14ac:dyDescent="0.25">
      <c r="A207" s="140" t="s">
        <v>171</v>
      </c>
      <c r="B207" s="140"/>
      <c r="C207" s="50" t="s">
        <v>67</v>
      </c>
      <c r="D207" s="409" t="s">
        <v>305</v>
      </c>
      <c r="E207" s="208"/>
      <c r="F207" s="410">
        <f>IF(F$33=0,0,ROUND(+F$45/F$33,4))</f>
        <v>0</v>
      </c>
    </row>
    <row r="208" spans="1:8" ht="13.5" hidden="1" thickBot="1" x14ac:dyDescent="0.25">
      <c r="A208" s="140" t="s">
        <v>171</v>
      </c>
      <c r="B208" s="140"/>
      <c r="C208" s="50" t="s">
        <v>68</v>
      </c>
      <c r="D208" s="199"/>
      <c r="E208" s="208"/>
      <c r="F208" s="412">
        <f>+ROUND(F207*F203,1)</f>
        <v>0</v>
      </c>
    </row>
    <row r="209" spans="1:8" ht="13.5" thickBot="1" x14ac:dyDescent="0.25">
      <c r="A209" s="140" t="s">
        <v>172</v>
      </c>
      <c r="B209" s="140"/>
      <c r="C209" s="281" t="s">
        <v>246</v>
      </c>
      <c r="D209" s="56"/>
      <c r="E209" s="56"/>
      <c r="F209" s="53">
        <f>IF(F33=0,0,IF(F205=0,0,ROUND(F205-F144,0)))</f>
        <v>0</v>
      </c>
      <c r="H209" s="363" t="str">
        <f>+"Pour être admissible, il faut être au-delà du seuil de "&amp;D204*100&amp;" %."</f>
        <v>Pour être admissible, il faut être au-delà du seuil de 8 %.</v>
      </c>
    </row>
    <row r="210" spans="1:8" ht="13.5" thickBot="1" x14ac:dyDescent="0.25">
      <c r="A210" s="140" t="s">
        <v>172</v>
      </c>
      <c r="B210" s="140"/>
      <c r="C210" s="321"/>
      <c r="E210" s="63"/>
      <c r="F210" s="304"/>
      <c r="H210" s="363"/>
    </row>
    <row r="211" spans="1:8" x14ac:dyDescent="0.2">
      <c r="A211" s="140" t="s">
        <v>172</v>
      </c>
      <c r="B211" s="140"/>
      <c r="C211" s="398" t="s">
        <v>256</v>
      </c>
      <c r="D211" s="174"/>
      <c r="E211" s="174"/>
      <c r="F211" s="421"/>
    </row>
    <row r="212" spans="1:8" ht="13.5" thickBot="1" x14ac:dyDescent="0.25">
      <c r="A212" s="140" t="s">
        <v>172</v>
      </c>
      <c r="B212" s="140"/>
      <c r="C212" s="48" t="s">
        <v>208</v>
      </c>
      <c r="D212" s="34" t="s">
        <v>162</v>
      </c>
      <c r="E212" s="63"/>
      <c r="F212" s="390"/>
    </row>
    <row r="213" spans="1:8" ht="13.5" hidden="1" thickBot="1" x14ac:dyDescent="0.25">
      <c r="A213" s="140" t="s">
        <v>171</v>
      </c>
      <c r="B213" s="140"/>
      <c r="C213" s="50" t="s">
        <v>229</v>
      </c>
      <c r="D213" s="198" cm="1">
        <f t="array" ref="D213">INDEX(Barème!$B$47:$XFD$9232,_xlfn.XMATCH('Calcul-Subv-GS'!$D212,Barème!$B$47:$B$9232),_xlfn.XMATCH(F$15,Barème!$B$4:$XFD$4))</f>
        <v>0.5</v>
      </c>
      <c r="E213" s="63"/>
      <c r="F213" s="415">
        <f>IF(F$33=0,0,ROUND(+F$45/F$33,4))</f>
        <v>0</v>
      </c>
    </row>
    <row r="214" spans="1:8" ht="13.5" hidden="1" thickBot="1" x14ac:dyDescent="0.25">
      <c r="A214" s="140" t="s">
        <v>171</v>
      </c>
      <c r="B214" s="140"/>
      <c r="C214" s="50" t="s">
        <v>276</v>
      </c>
      <c r="D214" s="413" t="s">
        <v>305</v>
      </c>
      <c r="E214" s="63"/>
      <c r="F214" s="416">
        <f>+ROUND(F213*F212,1)</f>
        <v>0</v>
      </c>
    </row>
    <row r="215" spans="1:8" ht="6" hidden="1" customHeight="1" thickBot="1" x14ac:dyDescent="0.25">
      <c r="A215" s="140" t="s">
        <v>171</v>
      </c>
      <c r="B215" s="140"/>
      <c r="C215" s="414"/>
      <c r="D215" s="368"/>
      <c r="E215" s="180"/>
      <c r="F215" s="417"/>
    </row>
    <row r="216" spans="1:8" ht="13.5" thickBot="1" x14ac:dyDescent="0.25">
      <c r="A216" s="140" t="s">
        <v>172</v>
      </c>
      <c r="B216" s="140"/>
      <c r="C216" s="281" t="s">
        <v>247</v>
      </c>
      <c r="D216" s="56"/>
      <c r="E216" s="56"/>
      <c r="F216" s="301">
        <f>IF(F33=0,0,ROUND($D$213*F212/F33*F102,0))</f>
        <v>0</v>
      </c>
    </row>
    <row r="217" spans="1:8" ht="8.25" hidden="1" customHeight="1" thickBot="1" x14ac:dyDescent="0.25">
      <c r="A217" s="140" t="s">
        <v>171</v>
      </c>
      <c r="B217" s="140"/>
      <c r="C217" s="337"/>
      <c r="E217" s="63"/>
      <c r="F217" s="338"/>
    </row>
    <row r="218" spans="1:8" hidden="1" x14ac:dyDescent="0.2">
      <c r="A218" s="140" t="s">
        <v>171</v>
      </c>
      <c r="B218" s="140"/>
      <c r="C218" s="254" t="s">
        <v>55</v>
      </c>
      <c r="D218" s="174"/>
      <c r="E218" s="174"/>
      <c r="F218" s="234"/>
    </row>
    <row r="219" spans="1:8" hidden="1" x14ac:dyDescent="0.2">
      <c r="A219" s="140" t="s">
        <v>171</v>
      </c>
      <c r="B219" s="140"/>
      <c r="C219" s="50" t="s">
        <v>12</v>
      </c>
      <c r="D219" s="34" t="s">
        <v>56</v>
      </c>
      <c r="E219" s="34" t="s">
        <v>57</v>
      </c>
      <c r="F219" s="238"/>
    </row>
    <row r="220" spans="1:8" hidden="1" x14ac:dyDescent="0.2">
      <c r="A220" s="140" t="s">
        <v>171</v>
      </c>
      <c r="B220" s="140"/>
      <c r="C220" s="50" t="s">
        <v>10</v>
      </c>
      <c r="D220" s="198" cm="1">
        <f t="array" ref="D220">INDEX(Barème!$B$47:$XFD$9232,_xlfn.XMATCH('Calcul-Subv-GS'!$D219,Barème!$B$47:$B$9232),_xlfn.XMATCH(F$15,Barème!$B$4:$XFD$4))</f>
        <v>0.05</v>
      </c>
      <c r="E220" s="70" cm="1">
        <f t="array" ref="E220">INDEX(Barème!$B$47:$XFD$9232,_xlfn.XMATCH('Calcul-Subv-GS'!$E219,Barème!$B$47:$B$9232),_xlfn.XMATCH(F$15,Barème!$B$4:$XFD$4))</f>
        <v>2358.1999999999998</v>
      </c>
      <c r="F220" s="255">
        <f>IF(F22&lt;$D$221,$D$220*F102,0)</f>
        <v>0</v>
      </c>
    </row>
    <row r="221" spans="1:8" hidden="1" x14ac:dyDescent="0.2">
      <c r="A221" s="140" t="s">
        <v>171</v>
      </c>
      <c r="B221" s="140"/>
      <c r="C221" s="50" t="s">
        <v>163</v>
      </c>
      <c r="D221" s="43" cm="1">
        <f t="array" ref="D221">INDEX(Barème!$B$47:$XFD$9232,_xlfn.XMATCH('Calcul-Subv-GS'!$C221,Barème!$B$47:$B$9232),_xlfn.XMATCH(F$15,Barème!$B$4:$XFD$4))</f>
        <v>33</v>
      </c>
      <c r="E221" s="63"/>
      <c r="F221" s="256"/>
    </row>
    <row r="222" spans="1:8" hidden="1" x14ac:dyDescent="0.2">
      <c r="A222" s="140" t="s">
        <v>171</v>
      </c>
      <c r="B222" s="140"/>
      <c r="C222" s="51" t="s">
        <v>11</v>
      </c>
      <c r="D222" s="45"/>
      <c r="E222" s="45"/>
      <c r="F222" s="257">
        <f>IF(F22=0,0,IF(F22&lt;$D$221,+ROUND($E$220*F25*($D$221-F22),0),0))</f>
        <v>0</v>
      </c>
    </row>
    <row r="223" spans="1:8" ht="13.5" thickBot="1" x14ac:dyDescent="0.25">
      <c r="A223" s="140" t="s">
        <v>172</v>
      </c>
      <c r="B223" s="140"/>
      <c r="C223" s="339"/>
      <c r="D223" s="258"/>
      <c r="E223" s="258"/>
      <c r="F223" s="340"/>
    </row>
    <row r="224" spans="1:8" ht="13.5" thickBot="1" x14ac:dyDescent="0.25">
      <c r="A224" s="140" t="s">
        <v>172</v>
      </c>
      <c r="B224" s="140"/>
      <c r="C224" s="281" t="s">
        <v>248</v>
      </c>
      <c r="D224" s="56"/>
      <c r="E224" s="56"/>
      <c r="F224" s="60">
        <f>ROUND(F220+F222,0)</f>
        <v>0</v>
      </c>
    </row>
    <row r="225" spans="1:6" ht="10.5" customHeight="1" thickBot="1" x14ac:dyDescent="0.25">
      <c r="A225" s="140" t="s">
        <v>172</v>
      </c>
      <c r="B225" s="140"/>
      <c r="C225" s="242"/>
      <c r="D225" s="40"/>
      <c r="E225" s="41"/>
      <c r="F225" s="243"/>
    </row>
    <row r="226" spans="1:6" ht="13.5" thickBot="1" x14ac:dyDescent="0.25">
      <c r="A226" s="140" t="s">
        <v>172</v>
      </c>
      <c r="B226" s="140"/>
      <c r="C226" s="398" t="s">
        <v>290</v>
      </c>
      <c r="D226" s="239"/>
      <c r="E226" s="239"/>
      <c r="F226" s="24"/>
    </row>
    <row r="227" spans="1:6" s="44" customFormat="1" ht="13.5" thickBot="1" x14ac:dyDescent="0.25">
      <c r="A227" s="140" t="s">
        <v>172</v>
      </c>
      <c r="B227" s="140"/>
      <c r="C227" s="317" t="s">
        <v>230</v>
      </c>
      <c r="D227" s="40" t="s">
        <v>164</v>
      </c>
      <c r="E227" s="240" cm="1">
        <f t="array" ref="E227">INDEX(Barème!$B$47:$XFD$9232,_xlfn.XMATCH('Calcul-Subv-GS'!$D227,Barème!$B$47:$B$9232),_xlfn.XMATCH(F$15,Barème!$B$4:$XFD$4))</f>
        <v>3.72</v>
      </c>
      <c r="F227" s="392"/>
    </row>
    <row r="228" spans="1:6" s="44" customFormat="1" ht="13.5" thickBot="1" x14ac:dyDescent="0.25">
      <c r="A228" s="140" t="s">
        <v>172</v>
      </c>
      <c r="B228" s="140"/>
      <c r="C228" s="281" t="s">
        <v>249</v>
      </c>
      <c r="D228" s="56"/>
      <c r="E228" s="185"/>
      <c r="F228" s="60">
        <f>ROUND($E$227*F227,0)</f>
        <v>0</v>
      </c>
    </row>
    <row r="229" spans="1:6" s="44" customFormat="1" ht="12.75" customHeight="1" thickBot="1" x14ac:dyDescent="0.3">
      <c r="A229" s="140" t="s">
        <v>172</v>
      </c>
      <c r="B229" s="140"/>
      <c r="C229" s="282"/>
      <c r="E229" s="45"/>
      <c r="F229" s="305"/>
    </row>
    <row r="230" spans="1:6" s="23" customFormat="1" ht="13.5" thickBot="1" x14ac:dyDescent="0.25">
      <c r="A230" s="140" t="s">
        <v>172</v>
      </c>
      <c r="B230" s="140"/>
      <c r="C230" s="281" t="s">
        <v>58</v>
      </c>
      <c r="D230" s="56"/>
      <c r="E230" s="56"/>
      <c r="F230" s="60">
        <f>F171+F196+F200+F209+F216+F224+F228</f>
        <v>0</v>
      </c>
    </row>
    <row r="231" spans="1:6" s="23" customFormat="1" ht="9" customHeight="1" thickBot="1" x14ac:dyDescent="0.25">
      <c r="A231" s="140" t="s">
        <v>172</v>
      </c>
      <c r="B231" s="140"/>
      <c r="C231" s="242"/>
      <c r="D231" s="40"/>
      <c r="E231" s="41"/>
      <c r="F231" s="306"/>
    </row>
    <row r="232" spans="1:6" ht="16.5" thickBot="1" x14ac:dyDescent="0.3">
      <c r="A232" s="140" t="s">
        <v>172</v>
      </c>
      <c r="B232" s="140"/>
      <c r="C232" s="241" t="s">
        <v>258</v>
      </c>
      <c r="D232" s="56"/>
      <c r="E232" s="56"/>
      <c r="F232" s="307">
        <f>F153+F230</f>
        <v>0</v>
      </c>
    </row>
    <row r="233" spans="1:6" ht="3.75" customHeight="1" x14ac:dyDescent="0.2">
      <c r="A233" s="140" t="s">
        <v>172</v>
      </c>
      <c r="B233" s="140"/>
      <c r="C233" s="231"/>
      <c r="D233" s="244"/>
      <c r="E233" s="244"/>
      <c r="F233" s="328"/>
    </row>
    <row r="234" spans="1:6" ht="33.75" customHeight="1" thickBot="1" x14ac:dyDescent="0.3">
      <c r="A234" s="140" t="s">
        <v>172</v>
      </c>
      <c r="B234" s="140"/>
      <c r="C234" s="329" t="s">
        <v>285</v>
      </c>
      <c r="D234" s="329"/>
      <c r="E234" s="252"/>
      <c r="F234" s="330"/>
    </row>
    <row r="235" spans="1:6" x14ac:dyDescent="0.2">
      <c r="A235" s="140" t="s">
        <v>172</v>
      </c>
      <c r="B235" s="140"/>
      <c r="C235" s="393" t="s">
        <v>200</v>
      </c>
      <c r="D235" s="174"/>
      <c r="E235" s="174"/>
      <c r="F235" s="396"/>
    </row>
    <row r="236" spans="1:6" x14ac:dyDescent="0.2">
      <c r="A236" s="140" t="s">
        <v>172</v>
      </c>
      <c r="B236" s="140"/>
      <c r="C236" s="394" t="s">
        <v>85</v>
      </c>
      <c r="D236" s="63"/>
      <c r="E236" s="63"/>
      <c r="F236" s="395"/>
    </row>
    <row r="237" spans="1:6" x14ac:dyDescent="0.2">
      <c r="A237" s="140" t="s">
        <v>172</v>
      </c>
      <c r="B237" s="140"/>
      <c r="C237" s="394" t="s">
        <v>86</v>
      </c>
      <c r="D237" s="63"/>
      <c r="E237" s="63"/>
      <c r="F237" s="395"/>
    </row>
    <row r="238" spans="1:6" ht="13.5" thickBot="1" x14ac:dyDescent="0.25">
      <c r="A238" s="140" t="s">
        <v>172</v>
      </c>
      <c r="B238" s="140"/>
      <c r="C238" s="394" t="s">
        <v>87</v>
      </c>
      <c r="D238" s="63"/>
      <c r="E238" s="63"/>
      <c r="F238" s="395"/>
    </row>
    <row r="239" spans="1:6" ht="13.5" thickBot="1" x14ac:dyDescent="0.25">
      <c r="A239" s="140" t="s">
        <v>172</v>
      </c>
      <c r="B239" s="140"/>
      <c r="C239" s="224" t="s">
        <v>257</v>
      </c>
      <c r="D239" s="185"/>
      <c r="E239" s="185"/>
      <c r="F239" s="379">
        <f>F235+F236+F237+F238</f>
        <v>0</v>
      </c>
    </row>
    <row r="240" spans="1:6" ht="10.5" customHeight="1" thickBot="1" x14ac:dyDescent="0.25">
      <c r="A240" s="140" t="s">
        <v>172</v>
      </c>
      <c r="B240" s="140"/>
      <c r="C240" s="1"/>
      <c r="F240" s="1"/>
    </row>
    <row r="241" spans="1:6" ht="36.75" customHeight="1" thickBot="1" x14ac:dyDescent="0.25">
      <c r="A241" s="140" t="s">
        <v>172</v>
      </c>
      <c r="B241" s="140"/>
      <c r="C241" s="327" t="s">
        <v>88</v>
      </c>
      <c r="D241" s="327"/>
      <c r="E241" s="327"/>
      <c r="F241" s="404">
        <f>F232+F239</f>
        <v>0</v>
      </c>
    </row>
    <row r="242" spans="1:6" x14ac:dyDescent="0.2">
      <c r="A242" s="140"/>
      <c r="B242" s="140"/>
    </row>
  </sheetData>
  <sheetProtection algorithmName="SHA-512" hashValue="Ig8RvTSK40enJULOhUvnlvsLEyE/7wSKX5Y2MikM7d3Kmu5MfwtRnOvdANmdIVsqB/dighCmdeqVCfepU8A9IQ==" saltValue="5HIUPFWxkXFy3KYj/+dsGA==" spinCount="100000" sheet="1" objects="1" scenarios="1" selectLockedCells="1"/>
  <autoFilter ref="A1:A241" xr:uid="{2E2ACFC0-73CB-4FE3-BC7C-2FEA2D1BCD04}">
    <filterColumn colId="0">
      <filters>
        <filter val="non"/>
      </filters>
    </filterColumn>
  </autoFilter>
  <mergeCells count="5">
    <mergeCell ref="G161:G166"/>
    <mergeCell ref="D23:E23"/>
    <mergeCell ref="D84:E84"/>
    <mergeCell ref="D115:E115"/>
    <mergeCell ref="C1:F1"/>
  </mergeCells>
  <phoneticPr fontId="22" type="noConversion"/>
  <conditionalFormatting sqref="A1:B1048576">
    <cfRule type="cellIs" dxfId="1" priority="1" operator="equal">
      <formula>"non"</formula>
    </cfRule>
    <cfRule type="cellIs" dxfId="0" priority="2" operator="equal">
      <formula>"oui"</formula>
    </cfRule>
  </conditionalFormatting>
  <pageMargins left="0.70866141732283472" right="0.70866141732283472" top="0.55118110236220474" bottom="0.74803149606299213" header="0.31496062992125984" footer="0.19685039370078741"/>
  <pageSetup scale="59" fitToHeight="15" orientation="portrait" r:id="rId1"/>
  <headerFooter>
    <oddFooter>&amp;R&amp;G</oddFooter>
  </headerFooter>
  <rowBreaks count="1" manualBreakCount="1">
    <brk id="155" min="2" max="7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Donnée non permise" error="Choisir parmi la liste" xr:uid="{30C7F62C-2E51-46FC-9FF9-B31A5A8E0ABB}">
          <x14:formula1>
            <xm:f>Barème!$B$156:$B$158</xm:f>
          </x14:formula1>
          <xm:sqref>F64</xm:sqref>
        </x14:dataValidation>
        <x14:dataValidation type="list" allowBlank="1" showInputMessage="1" showErrorMessage="1" errorTitle="Donnée non permise" error="Choisir parmi la liste" xr:uid="{C4E32E34-E8AD-4FAC-9544-6D72ED53C095}">
          <x14:formula1>
            <xm:f>Barème!$C$4:$D$4</xm:f>
          </x14:formula1>
          <xm:sqref>F15</xm:sqref>
        </x14:dataValidation>
        <x14:dataValidation type="list" allowBlank="1" showInputMessage="1" showErrorMessage="1" errorTitle="Donnée non permise" error="Choisir parmi la liste" xr:uid="{BD92F791-C16D-4610-8042-C6DC28C9D988}">
          <x14:formula1>
            <xm:f>Barème!$B$153:$B$154</xm:f>
          </x14:formula1>
          <xm:sqref>F138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Barème</vt:lpstr>
      <vt:lpstr>Calcul-Subv-GS</vt:lpstr>
      <vt:lpstr>'Calcul-Subv-GS'!Zone_d_impression</vt:lpstr>
    </vt:vector>
  </TitlesOfParts>
  <Company>MESS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Simulateur GS 2024-25</dc:title>
  <dc:creator>Ministère de la famille</dc:creator>
  <cp:lastModifiedBy>Bélanger, Josée</cp:lastModifiedBy>
  <cp:lastPrinted>2025-02-06T18:41:31Z</cp:lastPrinted>
  <dcterms:created xsi:type="dcterms:W3CDTF">2012-03-01T15:32:54Z</dcterms:created>
  <dcterms:modified xsi:type="dcterms:W3CDTF">2025-02-18T12:42:01Z</dcterms:modified>
</cp:coreProperties>
</file>