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financesquebec-my.sharepoint.com/personal/france_bourassa_finances_gouv_qc_ca/Documents/Bureau/Dépôt temporaire/RPE/"/>
    </mc:Choice>
  </mc:AlternateContent>
  <xr:revisionPtr revIDLastSave="0" documentId="8_{DECBC657-B378-48B2-9FE2-09198AF77ECF}" xr6:coauthVersionLast="47" xr6:coauthVersionMax="47" xr10:uidLastSave="{00000000-0000-0000-0000-000000000000}"/>
  <bookViews>
    <workbookView xWindow="-120" yWindow="-120" windowWidth="19440" windowHeight="14880" firstSheet="1" activeTab="1" xr2:uid="{C29DC876-2CC3-4A26-A281-B6DF1E9150EF}"/>
  </bookViews>
  <sheets>
    <sheet name="BanqueEconomique" sheetId="16" state="veryHidden" r:id="rId1"/>
    <sheet name="Introduction" sheetId="10" r:id="rId2"/>
    <sheet name="1_Economique" sheetId="6" r:id="rId3"/>
    <sheet name="2_C_Financier" sheetId="3" r:id="rId4"/>
    <sheet name="3-PQI" sheetId="15" r:id="rId5"/>
    <sheet name="4-LoiEquilibreBudgetaire" sheetId="20" r:id="rId6"/>
    <sheet name="5-AnalyseSensibilite" sheetId="21" r:id="rId7"/>
    <sheet name="6-Simulation" sheetId="9" r:id="rId8"/>
    <sheet name="7-ResulatsSimulation" sheetId="17" r:id="rId9"/>
    <sheet name="8-RevisionsCF_RPE" sheetId="18" r:id="rId10"/>
  </sheets>
  <definedNames>
    <definedName name="_xlnm.Print_Titles" localSheetId="7">'6-Simulation'!$1:$1</definedName>
    <definedName name="Postes_Bud_Revenus">'6-Simulation'!$A$373:$A$382</definedName>
    <definedName name="Principaux_portefeuilles">'6-Simulation'!$A$356:$A$368</definedName>
    <definedName name="Principaux_portefeuilles_PQI">'6-Simulation'!$C$356:$C$365</definedName>
    <definedName name="Sc_econo">Introduction!#REF!</definedName>
    <definedName name="Sc_prevision">Introduction!$C$4</definedName>
    <definedName name="Secteurs_PQI_OP">'6-Simulation'!$B$385:$C$400</definedName>
    <definedName name="Secteurs_PQI_OP_colonne1">'6-Simulation'!$B$385:$B$400</definedName>
    <definedName name="Secteurs_PQI_OP_colonne2">'6-Simulation'!$C$385:$C$400</definedName>
    <definedName name="Secteurs_PQI_OS">'6-Simulation'!$B$404:$C$414</definedName>
    <definedName name="Secteurs_PQI_OS_colonne1">'6-Simulation'!$B$404:$B$414</definedName>
    <definedName name="Secteurs_PQI_OS_colonne2">'6-Simulation'!$C$404:$C$414</definedName>
    <definedName name="Taux_interets">'6-Simulation'!$B$418:$B$518</definedName>
    <definedName name="_xlnm.Print_Area" localSheetId="2">'1_Economique'!$A$1:$K$40</definedName>
    <definedName name="_xlnm.Print_Area" localSheetId="3">'2_C_Financier'!$A$1:$K$75</definedName>
    <definedName name="_xlnm.Print_Area" localSheetId="5">'4-LoiEquilibreBudgetaire'!$A$1:$J$11</definedName>
    <definedName name="_xlnm.Print_Area" localSheetId="6">'5-AnalyseSensibilite'!$A$1:$K$56</definedName>
    <definedName name="_xlnm.Print_Area" localSheetId="7">'6-Simulation'!$A$1:$L$326</definedName>
    <definedName name="_xlnm.Print_Area" localSheetId="8">'7-ResulatsSimulation'!$A$1:$K$96</definedName>
    <definedName name="_xlnm.Print_Area" localSheetId="9">'8-RevisionsCF_RPE'!$A$1:$K$71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2" i="17" l="1"/>
  <c r="G92" i="17"/>
  <c r="H92" i="17"/>
  <c r="I92" i="17"/>
  <c r="E92" i="17"/>
  <c r="D54" i="17"/>
  <c r="J12" i="3" l="1"/>
  <c r="J13" i="3"/>
  <c r="J14" i="3"/>
  <c r="J15" i="3"/>
  <c r="K106" i="9"/>
  <c r="D98" i="9"/>
  <c r="E98" i="9"/>
  <c r="F98" i="9"/>
  <c r="G98" i="9"/>
  <c r="H98" i="9"/>
  <c r="D101" i="9"/>
  <c r="E101" i="9"/>
  <c r="F101" i="9"/>
  <c r="G101" i="9"/>
  <c r="H101" i="9"/>
  <c r="D104" i="9"/>
  <c r="E104" i="9"/>
  <c r="F104" i="9"/>
  <c r="G104" i="9"/>
  <c r="H104" i="9"/>
  <c r="D107" i="9"/>
  <c r="E107" i="9"/>
  <c r="F107" i="9"/>
  <c r="G107" i="9"/>
  <c r="H107" i="9"/>
  <c r="D110" i="9"/>
  <c r="E110" i="9"/>
  <c r="F110" i="9"/>
  <c r="G110" i="9"/>
  <c r="H110" i="9"/>
  <c r="D113" i="9"/>
  <c r="E113" i="9"/>
  <c r="F113" i="9"/>
  <c r="G113" i="9"/>
  <c r="H113" i="9"/>
  <c r="D116" i="9"/>
  <c r="E116" i="9"/>
  <c r="F116" i="9"/>
  <c r="G116" i="9"/>
  <c r="H116" i="9"/>
  <c r="D119" i="9"/>
  <c r="E119" i="9"/>
  <c r="F119" i="9"/>
  <c r="G119" i="9"/>
  <c r="H119" i="9"/>
  <c r="D122" i="9"/>
  <c r="E122" i="9"/>
  <c r="F122" i="9"/>
  <c r="G122" i="9"/>
  <c r="H122" i="9"/>
  <c r="K295" i="9" l="1"/>
  <c r="K293" i="9"/>
  <c r="K291" i="9"/>
  <c r="K289" i="9"/>
  <c r="K287" i="9"/>
  <c r="K285" i="9"/>
  <c r="K283" i="9"/>
  <c r="K281" i="9"/>
  <c r="K279" i="9"/>
  <c r="K277" i="9"/>
  <c r="K275" i="9"/>
  <c r="K273" i="9"/>
  <c r="K271" i="9"/>
  <c r="K269" i="9"/>
  <c r="K267" i="9"/>
  <c r="K265" i="9"/>
  <c r="K263" i="9"/>
  <c r="K261" i="9"/>
  <c r="K259" i="9"/>
  <c r="K257" i="9"/>
  <c r="K255" i="9"/>
  <c r="K253" i="9"/>
  <c r="K251" i="9"/>
  <c r="K249" i="9"/>
  <c r="K247" i="9"/>
  <c r="K245" i="9"/>
  <c r="K243" i="9"/>
  <c r="K241" i="9"/>
  <c r="K239" i="9"/>
  <c r="K237" i="9"/>
  <c r="K235" i="9"/>
  <c r="K233" i="9"/>
  <c r="K231" i="9"/>
  <c r="K229" i="9"/>
  <c r="K227" i="9"/>
  <c r="K225" i="9"/>
  <c r="K223" i="9"/>
  <c r="K221" i="9"/>
  <c r="K219" i="9"/>
  <c r="K211" i="9"/>
  <c r="K208" i="9"/>
  <c r="K205" i="9"/>
  <c r="K202" i="9"/>
  <c r="K199" i="9"/>
  <c r="K196" i="9"/>
  <c r="K193" i="9"/>
  <c r="K190" i="9"/>
  <c r="K187" i="9"/>
  <c r="K184" i="9"/>
  <c r="K181" i="9"/>
  <c r="K178" i="9"/>
  <c r="K175" i="9"/>
  <c r="K172" i="9"/>
  <c r="K169" i="9"/>
  <c r="K166" i="9"/>
  <c r="K163" i="9"/>
  <c r="K160" i="9"/>
  <c r="K157" i="9"/>
  <c r="K154" i="9"/>
  <c r="K151" i="9"/>
  <c r="K148" i="9"/>
  <c r="K145" i="9"/>
  <c r="K142" i="9"/>
  <c r="K139" i="9"/>
  <c r="K136" i="9"/>
  <c r="K133" i="9"/>
  <c r="K130" i="9"/>
  <c r="K127" i="9"/>
  <c r="K124" i="9"/>
  <c r="K121" i="9"/>
  <c r="K118" i="9"/>
  <c r="K115" i="9"/>
  <c r="K112" i="9"/>
  <c r="K109" i="9"/>
  <c r="K103" i="9"/>
  <c r="K100" i="9"/>
  <c r="K97" i="9"/>
  <c r="F93" i="17" l="1"/>
  <c r="G93" i="17"/>
  <c r="H93" i="17"/>
  <c r="E93" i="17"/>
  <c r="I93" i="17"/>
  <c r="D317" i="9"/>
  <c r="H212" i="9"/>
  <c r="G212" i="9"/>
  <c r="F212" i="9"/>
  <c r="E212" i="9"/>
  <c r="D212" i="9"/>
  <c r="H209" i="9"/>
  <c r="G209" i="9"/>
  <c r="F209" i="9"/>
  <c r="E209" i="9"/>
  <c r="D209" i="9"/>
  <c r="H206" i="9"/>
  <c r="G206" i="9"/>
  <c r="F206" i="9"/>
  <c r="E206" i="9"/>
  <c r="D206" i="9"/>
  <c r="H203" i="9"/>
  <c r="G203" i="9"/>
  <c r="F203" i="9"/>
  <c r="E203" i="9"/>
  <c r="D203" i="9"/>
  <c r="H200" i="9"/>
  <c r="G200" i="9"/>
  <c r="F200" i="9"/>
  <c r="E200" i="9"/>
  <c r="D200" i="9"/>
  <c r="H197" i="9"/>
  <c r="G197" i="9"/>
  <c r="F197" i="9"/>
  <c r="E197" i="9"/>
  <c r="D197" i="9"/>
  <c r="H194" i="9"/>
  <c r="G194" i="9"/>
  <c r="F194" i="9"/>
  <c r="E194" i="9"/>
  <c r="D194" i="9"/>
  <c r="H191" i="9"/>
  <c r="G191" i="9"/>
  <c r="F191" i="9"/>
  <c r="E191" i="9"/>
  <c r="D191" i="9"/>
  <c r="H188" i="9"/>
  <c r="G188" i="9"/>
  <c r="F188" i="9"/>
  <c r="E188" i="9"/>
  <c r="D188" i="9"/>
  <c r="H185" i="9"/>
  <c r="G185" i="9"/>
  <c r="F185" i="9"/>
  <c r="E185" i="9"/>
  <c r="D185" i="9"/>
  <c r="H182" i="9"/>
  <c r="G182" i="9"/>
  <c r="F182" i="9"/>
  <c r="E182" i="9"/>
  <c r="D182" i="9"/>
  <c r="H179" i="9"/>
  <c r="G179" i="9"/>
  <c r="F179" i="9"/>
  <c r="E179" i="9"/>
  <c r="D179" i="9"/>
  <c r="H176" i="9"/>
  <c r="G176" i="9"/>
  <c r="F176" i="9"/>
  <c r="E176" i="9"/>
  <c r="D176" i="9"/>
  <c r="H173" i="9"/>
  <c r="G173" i="9"/>
  <c r="F173" i="9"/>
  <c r="E173" i="9"/>
  <c r="D173" i="9"/>
  <c r="H170" i="9"/>
  <c r="G170" i="9"/>
  <c r="F170" i="9"/>
  <c r="E170" i="9"/>
  <c r="D170" i="9"/>
  <c r="H167" i="9"/>
  <c r="G167" i="9"/>
  <c r="F167" i="9"/>
  <c r="E167" i="9"/>
  <c r="D167" i="9"/>
  <c r="H164" i="9"/>
  <c r="G164" i="9"/>
  <c r="F164" i="9"/>
  <c r="E164" i="9"/>
  <c r="D164" i="9"/>
  <c r="H161" i="9"/>
  <c r="G161" i="9"/>
  <c r="F161" i="9"/>
  <c r="E161" i="9"/>
  <c r="D161" i="9"/>
  <c r="H158" i="9"/>
  <c r="G158" i="9"/>
  <c r="F158" i="9"/>
  <c r="E158" i="9"/>
  <c r="D158" i="9"/>
  <c r="H155" i="9"/>
  <c r="G155" i="9"/>
  <c r="F155" i="9"/>
  <c r="E155" i="9"/>
  <c r="D155" i="9"/>
  <c r="H152" i="9"/>
  <c r="G152" i="9"/>
  <c r="F152" i="9"/>
  <c r="E152" i="9"/>
  <c r="D152" i="9"/>
  <c r="H149" i="9"/>
  <c r="G149" i="9"/>
  <c r="F149" i="9"/>
  <c r="E149" i="9"/>
  <c r="D149" i="9"/>
  <c r="H146" i="9"/>
  <c r="G146" i="9"/>
  <c r="F146" i="9"/>
  <c r="E146" i="9"/>
  <c r="D146" i="9"/>
  <c r="H143" i="9"/>
  <c r="G143" i="9"/>
  <c r="F143" i="9"/>
  <c r="E143" i="9"/>
  <c r="D143" i="9"/>
  <c r="H140" i="9"/>
  <c r="G140" i="9"/>
  <c r="F140" i="9"/>
  <c r="E140" i="9"/>
  <c r="D140" i="9"/>
  <c r="H137" i="9"/>
  <c r="G137" i="9"/>
  <c r="F137" i="9"/>
  <c r="E137" i="9"/>
  <c r="D137" i="9"/>
  <c r="H134" i="9"/>
  <c r="G134" i="9"/>
  <c r="F134" i="9"/>
  <c r="E134" i="9"/>
  <c r="D134" i="9"/>
  <c r="H131" i="9"/>
  <c r="G131" i="9"/>
  <c r="F131" i="9"/>
  <c r="E131" i="9"/>
  <c r="D131" i="9"/>
  <c r="H128" i="9"/>
  <c r="G128" i="9"/>
  <c r="F128" i="9"/>
  <c r="E128" i="9"/>
  <c r="D128" i="9"/>
  <c r="H125" i="9"/>
  <c r="G125" i="9"/>
  <c r="F125" i="9"/>
  <c r="E125" i="9"/>
  <c r="D125" i="9"/>
  <c r="H317" i="9" l="1"/>
  <c r="G317" i="9"/>
  <c r="F317" i="9"/>
  <c r="E317" i="9"/>
  <c r="D43" i="17"/>
  <c r="D43" i="18" s="1"/>
  <c r="C43" i="17"/>
  <c r="C43" i="18" s="1"/>
  <c r="D44" i="17" l="1"/>
  <c r="E48" i="3"/>
  <c r="E47" i="3"/>
  <c r="F47" i="3"/>
  <c r="G47" i="3"/>
  <c r="D47" i="3"/>
  <c r="C48" i="3"/>
  <c r="D48" i="3"/>
  <c r="J49" i="3" s="1"/>
  <c r="F48" i="3"/>
  <c r="G48" i="3"/>
  <c r="D44" i="18" l="1"/>
  <c r="D27" i="3"/>
  <c r="D29" i="3"/>
  <c r="D31" i="3"/>
  <c r="D33" i="3"/>
  <c r="D35" i="3"/>
  <c r="D37" i="3"/>
  <c r="D39" i="3"/>
  <c r="D41" i="3"/>
  <c r="D43" i="3"/>
  <c r="D307" i="9" l="1"/>
  <c r="F43" i="17" l="1"/>
  <c r="G43" i="17"/>
  <c r="E43" i="17"/>
  <c r="I80" i="17"/>
  <c r="I67" i="17"/>
  <c r="H80" i="17"/>
  <c r="G80" i="17"/>
  <c r="F80" i="17"/>
  <c r="E80" i="17"/>
  <c r="E67" i="17"/>
  <c r="H67" i="17"/>
  <c r="G67" i="17"/>
  <c r="F67" i="17"/>
  <c r="C71" i="3"/>
  <c r="D75" i="3"/>
  <c r="E75" i="3"/>
  <c r="F78" i="17"/>
  <c r="G78" i="17"/>
  <c r="H65" i="17"/>
  <c r="I65" i="17"/>
  <c r="G43" i="18" l="1"/>
  <c r="G44" i="17"/>
  <c r="G44" i="18" s="1"/>
  <c r="E44" i="17"/>
  <c r="E44" i="18" s="1"/>
  <c r="E43" i="18"/>
  <c r="F43" i="18"/>
  <c r="F44" i="17"/>
  <c r="F44" i="18" s="1"/>
  <c r="I73" i="3"/>
  <c r="I75" i="3"/>
  <c r="G65" i="17"/>
  <c r="E78" i="17"/>
  <c r="H73" i="3"/>
  <c r="H75" i="3"/>
  <c r="F65" i="17"/>
  <c r="G73" i="3"/>
  <c r="G75" i="3"/>
  <c r="E65" i="17"/>
  <c r="F73" i="3"/>
  <c r="F75" i="3"/>
  <c r="D78" i="17"/>
  <c r="E73" i="3"/>
  <c r="I78" i="17"/>
  <c r="D73" i="3"/>
  <c r="D65" i="17"/>
  <c r="H78" i="17"/>
  <c r="B212" i="9"/>
  <c r="B209" i="9"/>
  <c r="B206" i="9"/>
  <c r="B203" i="9"/>
  <c r="B200" i="9"/>
  <c r="B197" i="9"/>
  <c r="B194" i="9"/>
  <c r="B191" i="9"/>
  <c r="B188" i="9"/>
  <c r="B185" i="9"/>
  <c r="B182" i="9"/>
  <c r="B179" i="9"/>
  <c r="B176" i="9"/>
  <c r="B173" i="9"/>
  <c r="B170" i="9"/>
  <c r="B167" i="9"/>
  <c r="B164" i="9"/>
  <c r="B161" i="9"/>
  <c r="B158" i="9"/>
  <c r="B155" i="9"/>
  <c r="B152" i="9"/>
  <c r="B149" i="9"/>
  <c r="B146" i="9"/>
  <c r="B143" i="9"/>
  <c r="B140" i="9"/>
  <c r="B137" i="9"/>
  <c r="B134" i="9"/>
  <c r="B131" i="9"/>
  <c r="B125" i="9"/>
  <c r="B128" i="9"/>
  <c r="B122" i="9"/>
  <c r="B119" i="9"/>
  <c r="B116" i="9"/>
  <c r="B113" i="9"/>
  <c r="B110" i="9"/>
  <c r="B107" i="9"/>
  <c r="B104" i="9"/>
  <c r="D540" i="9" l="1"/>
  <c r="G543" i="9" l="1"/>
  <c r="H545" i="9"/>
  <c r="E540" i="9"/>
  <c r="E544" i="9"/>
  <c r="G540" i="9"/>
  <c r="E546" i="9"/>
  <c r="F544" i="9"/>
  <c r="G542" i="9"/>
  <c r="H540" i="9"/>
  <c r="H547" i="9"/>
  <c r="D539" i="9"/>
  <c r="D548" i="9"/>
  <c r="D544" i="9"/>
  <c r="F540" i="9"/>
  <c r="D546" i="9"/>
  <c r="E37" i="17" s="1"/>
  <c r="F542" i="9"/>
  <c r="E539" i="9"/>
  <c r="H542" i="9"/>
  <c r="D541" i="9"/>
  <c r="F539" i="9"/>
  <c r="F548" i="9"/>
  <c r="E548" i="9"/>
  <c r="F546" i="9"/>
  <c r="E541" i="9"/>
  <c r="G544" i="9"/>
  <c r="G548" i="9"/>
  <c r="H546" i="9"/>
  <c r="G546" i="9"/>
  <c r="H544" i="9"/>
  <c r="D543" i="9"/>
  <c r="H548" i="9"/>
  <c r="D547" i="9"/>
  <c r="E545" i="9"/>
  <c r="D545" i="9"/>
  <c r="E543" i="9"/>
  <c r="F543" i="9"/>
  <c r="G541" i="9"/>
  <c r="G547" i="9"/>
  <c r="E542" i="9"/>
  <c r="F541" i="9"/>
  <c r="H539" i="9"/>
  <c r="E547" i="9"/>
  <c r="F545" i="9"/>
  <c r="G539" i="9"/>
  <c r="F547" i="9"/>
  <c r="G545" i="9"/>
  <c r="H543" i="9"/>
  <c r="D542" i="9"/>
  <c r="H541" i="9"/>
  <c r="H525" i="9"/>
  <c r="D524" i="9"/>
  <c r="D527" i="9"/>
  <c r="D526" i="9"/>
  <c r="G532" i="9"/>
  <c r="F532" i="9"/>
  <c r="D533" i="9"/>
  <c r="D525" i="9"/>
  <c r="E532" i="9"/>
  <c r="D532" i="9"/>
  <c r="H533" i="9"/>
  <c r="H531" i="9"/>
  <c r="D531" i="9"/>
  <c r="G533" i="9"/>
  <c r="G531" i="9"/>
  <c r="D530" i="9"/>
  <c r="F533" i="9"/>
  <c r="F531" i="9"/>
  <c r="D529" i="9"/>
  <c r="E533" i="9"/>
  <c r="G530" i="9"/>
  <c r="D528" i="9"/>
  <c r="H532" i="9"/>
  <c r="E531" i="9"/>
  <c r="F530" i="9"/>
  <c r="G528" i="9"/>
  <c r="F528" i="9"/>
  <c r="E530" i="9"/>
  <c r="E528" i="9"/>
  <c r="H529" i="9"/>
  <c r="H527" i="9"/>
  <c r="G529" i="9"/>
  <c r="G527" i="9"/>
  <c r="F529" i="9"/>
  <c r="E527" i="9"/>
  <c r="E529" i="9"/>
  <c r="H526" i="9"/>
  <c r="H530" i="9"/>
  <c r="H528" i="9"/>
  <c r="G526" i="9"/>
  <c r="F526" i="9"/>
  <c r="E526" i="9"/>
  <c r="G525" i="9"/>
  <c r="F525" i="9"/>
  <c r="F527" i="9"/>
  <c r="E525" i="9"/>
  <c r="H524" i="9"/>
  <c r="G524" i="9"/>
  <c r="F524" i="9"/>
  <c r="E524" i="9"/>
  <c r="B101" i="9"/>
  <c r="E549" i="9" l="1"/>
  <c r="D534" i="9"/>
  <c r="D535" i="9" s="1"/>
  <c r="H534" i="9"/>
  <c r="E534" i="9"/>
  <c r="G534" i="9"/>
  <c r="F534" i="9"/>
  <c r="E536" i="9" l="1"/>
  <c r="E535" i="9"/>
  <c r="H535" i="9"/>
  <c r="F535" i="9"/>
  <c r="G535" i="9"/>
  <c r="D93" i="9" l="1"/>
  <c r="D49" i="9"/>
  <c r="B98" i="9"/>
  <c r="E23" i="17"/>
  <c r="E25" i="17"/>
  <c r="F25" i="17"/>
  <c r="G25" i="17"/>
  <c r="E27" i="17"/>
  <c r="F27" i="17"/>
  <c r="G27" i="17"/>
  <c r="E31" i="17"/>
  <c r="F31" i="17"/>
  <c r="G31" i="17"/>
  <c r="F37" i="17"/>
  <c r="G37" i="17"/>
  <c r="G23" i="17"/>
  <c r="F23" i="17"/>
  <c r="E41" i="17" l="1"/>
  <c r="F41" i="17"/>
  <c r="G41" i="17"/>
  <c r="D45" i="3"/>
  <c r="F33" i="17"/>
  <c r="F29" i="17"/>
  <c r="E29" i="17"/>
  <c r="G33" i="17"/>
  <c r="G29" i="17"/>
  <c r="G39" i="17"/>
  <c r="F39" i="17"/>
  <c r="E39" i="17"/>
  <c r="E33" i="17"/>
  <c r="E35" i="17"/>
  <c r="F35" i="17"/>
  <c r="G35" i="17"/>
  <c r="F32" i="17"/>
  <c r="G45" i="17" l="1"/>
  <c r="E45" i="17"/>
  <c r="F45" i="17"/>
  <c r="H549" i="9"/>
  <c r="G549" i="9"/>
  <c r="D549" i="9"/>
  <c r="D550" i="9" s="1"/>
  <c r="E214" i="9"/>
  <c r="F549" i="9"/>
  <c r="I81" i="17" l="1"/>
  <c r="G81" i="17"/>
  <c r="E68" i="17"/>
  <c r="I68" i="17"/>
  <c r="F81" i="17"/>
  <c r="H81" i="17"/>
  <c r="E81" i="17"/>
  <c r="D319" i="9" s="1"/>
  <c r="H68" i="17"/>
  <c r="G68" i="17"/>
  <c r="F68" i="17"/>
  <c r="D536" i="9"/>
  <c r="D537" i="9" s="1"/>
  <c r="G214" i="9"/>
  <c r="G536" i="9"/>
  <c r="H214" i="9"/>
  <c r="H536" i="9"/>
  <c r="F214" i="9"/>
  <c r="F536" i="9"/>
  <c r="G550" i="9"/>
  <c r="H550" i="9"/>
  <c r="F550" i="9"/>
  <c r="E550" i="9"/>
  <c r="D214" i="9"/>
  <c r="E319" i="9" l="1"/>
  <c r="H537" i="9"/>
  <c r="E537" i="9"/>
  <c r="G537" i="9"/>
  <c r="F537" i="9"/>
  <c r="D77" i="17"/>
  <c r="D83" i="17" s="1"/>
  <c r="D84" i="17" s="1"/>
  <c r="D64" i="17"/>
  <c r="D70" i="17" s="1"/>
  <c r="E64" i="17"/>
  <c r="F64" i="17"/>
  <c r="G64" i="17"/>
  <c r="H64" i="17"/>
  <c r="I64" i="17"/>
  <c r="F319" i="9" l="1"/>
  <c r="D61" i="18"/>
  <c r="D71" i="17"/>
  <c r="D298" i="9"/>
  <c r="D300" i="9" s="1"/>
  <c r="E298" i="9"/>
  <c r="F298" i="9"/>
  <c r="G298" i="9"/>
  <c r="H298" i="9"/>
  <c r="G319" i="9" l="1"/>
  <c r="H319" i="9" s="1"/>
  <c r="D309" i="9"/>
  <c r="D318" i="9" l="1"/>
  <c r="D320" i="9" s="1"/>
  <c r="E79" i="17"/>
  <c r="E66" i="17"/>
  <c r="E69" i="17" s="1"/>
  <c r="G25" i="18"/>
  <c r="G26" i="17"/>
  <c r="F31" i="18"/>
  <c r="E37" i="18"/>
  <c r="E27" i="18"/>
  <c r="G31" i="18"/>
  <c r="G32" i="17"/>
  <c r="F38" i="17"/>
  <c r="F37" i="18"/>
  <c r="F27" i="18"/>
  <c r="F28" i="17"/>
  <c r="E33" i="18"/>
  <c r="G38" i="17"/>
  <c r="G37" i="18"/>
  <c r="E23" i="18"/>
  <c r="G27" i="18"/>
  <c r="G28" i="17"/>
  <c r="F34" i="17"/>
  <c r="F33" i="18"/>
  <c r="E39" i="18"/>
  <c r="G23" i="18"/>
  <c r="G24" i="17"/>
  <c r="E29" i="18"/>
  <c r="G34" i="17"/>
  <c r="G33" i="18"/>
  <c r="F39" i="18"/>
  <c r="F40" i="17"/>
  <c r="F23" i="18"/>
  <c r="F24" i="17"/>
  <c r="F30" i="17"/>
  <c r="F29" i="18"/>
  <c r="E35" i="18"/>
  <c r="G40" i="17"/>
  <c r="G39" i="18"/>
  <c r="E25" i="18"/>
  <c r="G29" i="18"/>
  <c r="G30" i="17"/>
  <c r="F35" i="18"/>
  <c r="F36" i="17"/>
  <c r="F25" i="18"/>
  <c r="F26" i="17"/>
  <c r="E31" i="18"/>
  <c r="G36" i="17"/>
  <c r="G35" i="18"/>
  <c r="D552" i="9" l="1"/>
  <c r="E82" i="17"/>
  <c r="E63" i="17"/>
  <c r="F63" i="17"/>
  <c r="G63" i="17"/>
  <c r="H63" i="17"/>
  <c r="I63" i="17"/>
  <c r="D63" i="17"/>
  <c r="E76" i="17"/>
  <c r="F76" i="17"/>
  <c r="G76" i="17"/>
  <c r="H76" i="17"/>
  <c r="I76" i="17"/>
  <c r="D76" i="17"/>
  <c r="C313" i="9"/>
  <c r="D313" i="9"/>
  <c r="E313" i="9"/>
  <c r="F313" i="9"/>
  <c r="G313" i="9"/>
  <c r="H313" i="9"/>
  <c r="H7" i="15"/>
  <c r="I77" i="17"/>
  <c r="H77" i="17"/>
  <c r="G77" i="17"/>
  <c r="F77" i="17"/>
  <c r="E77" i="17"/>
  <c r="D39" i="17"/>
  <c r="C39" i="17"/>
  <c r="C39" i="18" s="1"/>
  <c r="D37" i="17"/>
  <c r="C37" i="17"/>
  <c r="C37" i="18" s="1"/>
  <c r="D35" i="17"/>
  <c r="C35" i="17"/>
  <c r="C35" i="18" s="1"/>
  <c r="D33" i="17"/>
  <c r="C33" i="17"/>
  <c r="C33" i="18" s="1"/>
  <c r="D31" i="17"/>
  <c r="C31" i="17"/>
  <c r="C31" i="18" s="1"/>
  <c r="D29" i="17"/>
  <c r="C29" i="17"/>
  <c r="C29" i="18" s="1"/>
  <c r="D27" i="17"/>
  <c r="C27" i="17"/>
  <c r="C27" i="18" s="1"/>
  <c r="D25" i="17"/>
  <c r="C25" i="17"/>
  <c r="C25" i="18" s="1"/>
  <c r="D23" i="17"/>
  <c r="C23" i="17"/>
  <c r="C19" i="17"/>
  <c r="C19" i="18" s="1"/>
  <c r="C17" i="17"/>
  <c r="C17" i="18" s="1"/>
  <c r="C23" i="18" l="1"/>
  <c r="D21" i="3"/>
  <c r="E83" i="17"/>
  <c r="E84" i="17" s="1"/>
  <c r="D67" i="18"/>
  <c r="D68" i="18" s="1"/>
  <c r="D26" i="17"/>
  <c r="D26" i="18" s="1"/>
  <c r="D25" i="18"/>
  <c r="E26" i="17"/>
  <c r="D34" i="17"/>
  <c r="D34" i="18" s="1"/>
  <c r="D33" i="18"/>
  <c r="E34" i="17"/>
  <c r="D27" i="18"/>
  <c r="D28" i="17"/>
  <c r="D28" i="18" s="1"/>
  <c r="E28" i="17"/>
  <c r="D35" i="18"/>
  <c r="D36" i="17"/>
  <c r="D36" i="18" s="1"/>
  <c r="E36" i="17"/>
  <c r="D30" i="17"/>
  <c r="D30" i="18" s="1"/>
  <c r="D29" i="18"/>
  <c r="E30" i="17"/>
  <c r="D38" i="17"/>
  <c r="D38" i="18" s="1"/>
  <c r="D37" i="18"/>
  <c r="E38" i="17"/>
  <c r="D24" i="17"/>
  <c r="D24" i="18" s="1"/>
  <c r="D23" i="18"/>
  <c r="E24" i="17"/>
  <c r="D32" i="17"/>
  <c r="D32" i="18" s="1"/>
  <c r="D31" i="18"/>
  <c r="E32" i="17"/>
  <c r="D39" i="18"/>
  <c r="D40" i="17"/>
  <c r="D40" i="18" s="1"/>
  <c r="E40" i="17"/>
  <c r="F54" i="17"/>
  <c r="F53" i="18" s="1"/>
  <c r="G54" i="17"/>
  <c r="G53" i="18" s="1"/>
  <c r="H54" i="17"/>
  <c r="H53" i="18" s="1"/>
  <c r="I54" i="17"/>
  <c r="I53" i="18" s="1"/>
  <c r="E54" i="17"/>
  <c r="E53" i="18" s="1"/>
  <c r="D53" i="18"/>
  <c r="C54" i="17"/>
  <c r="C53" i="18" s="1"/>
  <c r="C18" i="17"/>
  <c r="C18" i="18" s="1"/>
  <c r="D62" i="18" l="1"/>
  <c r="E70" i="17"/>
  <c r="E71" i="17" s="1"/>
  <c r="H307" i="9"/>
  <c r="E61" i="18" l="1"/>
  <c r="E307" i="9"/>
  <c r="F307" i="9"/>
  <c r="G307" i="9"/>
  <c r="E41" i="3" l="1"/>
  <c r="E38" i="18" s="1"/>
  <c r="E27" i="3"/>
  <c r="E24" i="18" s="1"/>
  <c r="E43" i="3" l="1"/>
  <c r="E40" i="18" s="1"/>
  <c r="E39" i="3"/>
  <c r="E36" i="18" s="1"/>
  <c r="E37" i="3"/>
  <c r="E34" i="18" s="1"/>
  <c r="F37" i="3"/>
  <c r="F34" i="18" s="1"/>
  <c r="E33" i="3"/>
  <c r="E30" i="18" s="1"/>
  <c r="E29" i="3"/>
  <c r="E26" i="18" s="1"/>
  <c r="G93" i="9"/>
  <c r="G300" i="9" s="1"/>
  <c r="H45" i="17" l="1"/>
  <c r="H45" i="18" s="1"/>
  <c r="C14" i="17"/>
  <c r="C14" i="18" s="1"/>
  <c r="I49" i="3"/>
  <c r="D71" i="3" l="1"/>
  <c r="E71" i="3"/>
  <c r="F71" i="3"/>
  <c r="G71" i="3"/>
  <c r="H71" i="3"/>
  <c r="I71" i="3"/>
  <c r="C12" i="17" l="1"/>
  <c r="C12" i="18" s="1"/>
  <c r="C50" i="17"/>
  <c r="C50" i="18" s="1"/>
  <c r="C9" i="17"/>
  <c r="C9" i="18" s="1"/>
  <c r="C8" i="17"/>
  <c r="C8" i="18" s="1"/>
  <c r="C15" i="17"/>
  <c r="C15" i="18" s="1"/>
  <c r="C10" i="17"/>
  <c r="C10" i="18" s="1"/>
  <c r="C47" i="17"/>
  <c r="C47" i="18" s="1"/>
  <c r="C13" i="17"/>
  <c r="C13" i="18" s="1"/>
  <c r="C55" i="17"/>
  <c r="C11" i="17"/>
  <c r="C11" i="18" s="1"/>
  <c r="C17" i="3"/>
  <c r="C16" i="17" l="1"/>
  <c r="C16" i="18" s="1"/>
  <c r="C22" i="3"/>
  <c r="C6" i="17" l="1"/>
  <c r="C6" i="18" l="1"/>
  <c r="G43" i="3" l="1"/>
  <c r="G40" i="18" s="1"/>
  <c r="F43" i="3"/>
  <c r="F40" i="18" s="1"/>
  <c r="G41" i="3"/>
  <c r="G38" i="18" s="1"/>
  <c r="F41" i="3"/>
  <c r="F38" i="18" s="1"/>
  <c r="G39" i="3"/>
  <c r="G36" i="18" s="1"/>
  <c r="F39" i="3"/>
  <c r="F36" i="18" s="1"/>
  <c r="G37" i="3"/>
  <c r="G34" i="18" s="1"/>
  <c r="J10" i="3" l="1"/>
  <c r="J9" i="3"/>
  <c r="J8" i="3"/>
  <c r="J21" i="3"/>
  <c r="J52" i="3"/>
  <c r="J11" i="3"/>
  <c r="E47" i="17"/>
  <c r="E47" i="18" s="1"/>
  <c r="I55" i="17"/>
  <c r="I54" i="18" s="1"/>
  <c r="H55" i="17"/>
  <c r="H54" i="18" s="1"/>
  <c r="F55" i="17"/>
  <c r="F54" i="18" s="1"/>
  <c r="G55" i="17"/>
  <c r="G54" i="18" s="1"/>
  <c r="E55" i="17"/>
  <c r="E54" i="18" s="1"/>
  <c r="H50" i="17"/>
  <c r="H50" i="18" s="1"/>
  <c r="G50" i="17"/>
  <c r="G50" i="18" s="1"/>
  <c r="I50" i="17"/>
  <c r="I50" i="18" s="1"/>
  <c r="F50" i="17"/>
  <c r="F50" i="18" s="1"/>
  <c r="E50" i="17"/>
  <c r="E50" i="18" s="1"/>
  <c r="D50" i="17"/>
  <c r="D50" i="18" s="1"/>
  <c r="D47" i="17"/>
  <c r="I18" i="17"/>
  <c r="F18" i="17"/>
  <c r="F18" i="18" s="1"/>
  <c r="G18" i="17"/>
  <c r="G18" i="18" s="1"/>
  <c r="H18" i="17"/>
  <c r="H18" i="18" s="1"/>
  <c r="E18" i="17"/>
  <c r="E18" i="18" s="1"/>
  <c r="E11" i="17"/>
  <c r="I9" i="17"/>
  <c r="H9" i="17"/>
  <c r="H9" i="18" s="1"/>
  <c r="I13" i="17"/>
  <c r="G12" i="17"/>
  <c r="G12" i="18" s="1"/>
  <c r="I14" i="17"/>
  <c r="G8" i="17"/>
  <c r="G8" i="18" s="1"/>
  <c r="I11" i="17"/>
  <c r="F12" i="17"/>
  <c r="F12" i="18" s="1"/>
  <c r="H11" i="17"/>
  <c r="H11" i="18" s="1"/>
  <c r="F10" i="17"/>
  <c r="F10" i="18" s="1"/>
  <c r="G9" i="17"/>
  <c r="F14" i="17"/>
  <c r="F14" i="18" s="1"/>
  <c r="H15" i="17"/>
  <c r="H15" i="18" s="1"/>
  <c r="G14" i="17"/>
  <c r="G14" i="18" s="1"/>
  <c r="I12" i="17"/>
  <c r="F8" i="17"/>
  <c r="F8" i="18" s="1"/>
  <c r="F15" i="17"/>
  <c r="G11" i="17"/>
  <c r="F9" i="17"/>
  <c r="H12" i="17"/>
  <c r="H12" i="18" s="1"/>
  <c r="I15" i="17"/>
  <c r="H10" i="17"/>
  <c r="H10" i="18" s="1"/>
  <c r="G10" i="17"/>
  <c r="G10" i="18" s="1"/>
  <c r="F13" i="17"/>
  <c r="H13" i="17"/>
  <c r="H13" i="18" s="1"/>
  <c r="G15" i="17"/>
  <c r="I10" i="17"/>
  <c r="I8" i="17"/>
  <c r="H14" i="17"/>
  <c r="H14" i="18" s="1"/>
  <c r="H8" i="17"/>
  <c r="H8" i="18" s="1"/>
  <c r="F11" i="17"/>
  <c r="G13" i="17"/>
  <c r="E14" i="17"/>
  <c r="E14" i="18" s="1"/>
  <c r="E13" i="17"/>
  <c r="E12" i="17"/>
  <c r="E12" i="18" s="1"/>
  <c r="E15" i="17"/>
  <c r="E8" i="17"/>
  <c r="E8" i="18" s="1"/>
  <c r="E10" i="17"/>
  <c r="E10" i="18" s="1"/>
  <c r="E9" i="17"/>
  <c r="D10" i="17"/>
  <c r="D10" i="18" s="1"/>
  <c r="D55" i="17"/>
  <c r="D54" i="18" s="1"/>
  <c r="D15" i="17"/>
  <c r="D15" i="18" s="1"/>
  <c r="D13" i="17"/>
  <c r="D13" i="18" s="1"/>
  <c r="D12" i="17"/>
  <c r="D12" i="18" s="1"/>
  <c r="D8" i="17"/>
  <c r="D8" i="18" s="1"/>
  <c r="D9" i="17"/>
  <c r="D9" i="18" s="1"/>
  <c r="D18" i="17"/>
  <c r="D18" i="18" s="1"/>
  <c r="D11" i="17"/>
  <c r="D11" i="18" s="1"/>
  <c r="D14" i="17"/>
  <c r="D14" i="18" s="1"/>
  <c r="C316" i="9"/>
  <c r="C321" i="9" s="1"/>
  <c r="F316" i="9"/>
  <c r="E316" i="9"/>
  <c r="D316" i="9"/>
  <c r="D321" i="9" s="1"/>
  <c r="H316" i="9"/>
  <c r="G316" i="9"/>
  <c r="G52" i="3"/>
  <c r="F52" i="3"/>
  <c r="E52" i="3"/>
  <c r="I52" i="3"/>
  <c r="H52" i="3"/>
  <c r="D52" i="3"/>
  <c r="J19" i="17" l="1"/>
  <c r="J19" i="18" s="1"/>
  <c r="I8" i="18"/>
  <c r="J8" i="17"/>
  <c r="J8" i="18" s="1"/>
  <c r="I14" i="18"/>
  <c r="J14" i="17"/>
  <c r="J14" i="18" s="1"/>
  <c r="I10" i="18"/>
  <c r="J10" i="17"/>
  <c r="J10" i="18" s="1"/>
  <c r="I13" i="18"/>
  <c r="J13" i="17"/>
  <c r="J13" i="18" s="1"/>
  <c r="I9" i="18"/>
  <c r="J9" i="17"/>
  <c r="J9" i="18" s="1"/>
  <c r="I15" i="18"/>
  <c r="J15" i="17"/>
  <c r="J15" i="18" s="1"/>
  <c r="I12" i="18"/>
  <c r="J12" i="17"/>
  <c r="J12" i="18" s="1"/>
  <c r="I11" i="18"/>
  <c r="J11" i="17"/>
  <c r="J11" i="18" s="1"/>
  <c r="I18" i="18"/>
  <c r="F15" i="18"/>
  <c r="G13" i="18"/>
  <c r="F13" i="18"/>
  <c r="E11" i="18"/>
  <c r="E9" i="18"/>
  <c r="F11" i="18"/>
  <c r="E15" i="18"/>
  <c r="F9" i="18"/>
  <c r="G9" i="18"/>
  <c r="E13" i="18"/>
  <c r="G15" i="18"/>
  <c r="G11" i="18"/>
  <c r="E48" i="17"/>
  <c r="E48" i="18" s="1"/>
  <c r="E19" i="17"/>
  <c r="H19" i="17"/>
  <c r="G19" i="17"/>
  <c r="D19" i="17"/>
  <c r="D19" i="18" s="1"/>
  <c r="F19" i="17"/>
  <c r="I19" i="17"/>
  <c r="D48" i="17"/>
  <c r="D48" i="18" s="1"/>
  <c r="D47" i="18"/>
  <c r="G16" i="17"/>
  <c r="F16" i="17"/>
  <c r="E16" i="17"/>
  <c r="D16" i="17"/>
  <c r="H16" i="17"/>
  <c r="I16" i="17"/>
  <c r="H53" i="3"/>
  <c r="J17" i="17" l="1"/>
  <c r="H17" i="17"/>
  <c r="D17" i="17"/>
  <c r="E17" i="17"/>
  <c r="F17" i="17"/>
  <c r="G17" i="17"/>
  <c r="I17" i="17"/>
  <c r="I6" i="17"/>
  <c r="D6" i="17"/>
  <c r="G6" i="17"/>
  <c r="E6" i="17"/>
  <c r="F6" i="17"/>
  <c r="H6" i="17"/>
  <c r="J7" i="17" l="1"/>
  <c r="H7" i="17"/>
  <c r="D7" i="17"/>
  <c r="I7" i="17"/>
  <c r="F7" i="17"/>
  <c r="E7" i="17"/>
  <c r="G7" i="17"/>
  <c r="E31" i="3" l="1"/>
  <c r="E28" i="18" s="1"/>
  <c r="G29" i="3" l="1"/>
  <c r="G26" i="18" s="1"/>
  <c r="E35" i="3"/>
  <c r="E32" i="18" s="1"/>
  <c r="F29" i="3"/>
  <c r="F26" i="18" s="1"/>
  <c r="F27" i="3"/>
  <c r="F24" i="18" s="1"/>
  <c r="F35" i="3"/>
  <c r="F32" i="18" s="1"/>
  <c r="G27" i="3"/>
  <c r="G24" i="18" s="1"/>
  <c r="G35" i="3"/>
  <c r="G32" i="18" s="1"/>
  <c r="F31" i="3"/>
  <c r="F28" i="18" s="1"/>
  <c r="G31" i="3"/>
  <c r="G28" i="18" s="1"/>
  <c r="G33" i="3"/>
  <c r="G30" i="18" s="1"/>
  <c r="I53" i="3"/>
  <c r="F33" i="3"/>
  <c r="F30" i="18" s="1"/>
  <c r="I54" i="3" l="1"/>
  <c r="I17" i="3"/>
  <c r="E17" i="3"/>
  <c r="E16" i="18" s="1"/>
  <c r="F17" i="3"/>
  <c r="F16" i="18" s="1"/>
  <c r="H17" i="3"/>
  <c r="H16" i="18" s="1"/>
  <c r="G17" i="3"/>
  <c r="G16" i="18" s="1"/>
  <c r="I16" i="18" l="1"/>
  <c r="E67" i="18"/>
  <c r="F22" i="3"/>
  <c r="F6" i="18" s="1"/>
  <c r="E22" i="3"/>
  <c r="E6" i="18" s="1"/>
  <c r="G22" i="3"/>
  <c r="G6" i="18" s="1"/>
  <c r="H22" i="3"/>
  <c r="H6" i="18" s="1"/>
  <c r="I22" i="3"/>
  <c r="I6" i="18" l="1"/>
  <c r="E68" i="18"/>
  <c r="E62" i="18"/>
  <c r="H23" i="3"/>
  <c r="H7" i="18" s="1"/>
  <c r="F23" i="3"/>
  <c r="F7" i="18" s="1"/>
  <c r="I57" i="3"/>
  <c r="I58" i="3" s="1"/>
  <c r="H57" i="3"/>
  <c r="H58" i="3" s="1"/>
  <c r="G23" i="3"/>
  <c r="G7" i="18" s="1"/>
  <c r="I23" i="3"/>
  <c r="I7" i="18" s="1"/>
  <c r="I65" i="3" l="1"/>
  <c r="I66" i="3" s="1"/>
  <c r="H65" i="3"/>
  <c r="H66" i="3" s="1"/>
  <c r="D17" i="3" l="1"/>
  <c r="J18" i="3" l="1"/>
  <c r="J17" i="18" s="1"/>
  <c r="D16" i="18"/>
  <c r="D18" i="3"/>
  <c r="D17" i="18" s="1"/>
  <c r="D22" i="3"/>
  <c r="D23" i="3" l="1"/>
  <c r="D7" i="18" s="1"/>
  <c r="J23" i="3"/>
  <c r="D6" i="18"/>
  <c r="J7" i="18"/>
  <c r="E23" i="3"/>
  <c r="E7" i="18" s="1"/>
  <c r="E49" i="9"/>
  <c r="F49" i="9"/>
  <c r="G49" i="9"/>
  <c r="G309" i="9" s="1"/>
  <c r="H49" i="9"/>
  <c r="H93" i="9" l="1"/>
  <c r="H300" i="9" s="1"/>
  <c r="H309" i="9" s="1"/>
  <c r="F93" i="9"/>
  <c r="F300" i="9" s="1"/>
  <c r="F309" i="9" s="1"/>
  <c r="E93" i="9"/>
  <c r="E300" i="9" s="1"/>
  <c r="E309" i="9" s="1"/>
  <c r="E318" i="9" l="1"/>
  <c r="E320" i="9" s="1"/>
  <c r="F318" i="9"/>
  <c r="F320" i="9" s="1"/>
  <c r="G318" i="9"/>
  <c r="G320" i="9" s="1"/>
  <c r="H318" i="9"/>
  <c r="H320" i="9" s="1"/>
  <c r="F66" i="17"/>
  <c r="I66" i="17"/>
  <c r="I79" i="17"/>
  <c r="H79" i="17"/>
  <c r="F79" i="17"/>
  <c r="H66" i="17"/>
  <c r="H69" i="17" s="1"/>
  <c r="G79" i="17"/>
  <c r="G66" i="17"/>
  <c r="I45" i="17"/>
  <c r="I45" i="18" l="1"/>
  <c r="I46" i="17"/>
  <c r="I46" i="18" s="1"/>
  <c r="I82" i="17"/>
  <c r="I83" i="17" s="1"/>
  <c r="I84" i="17" s="1"/>
  <c r="G69" i="17"/>
  <c r="H70" i="17"/>
  <c r="H71" i="17" s="1"/>
  <c r="F69" i="17"/>
  <c r="H321" i="9" l="1"/>
  <c r="I69" i="17"/>
  <c r="I70" i="17" s="1"/>
  <c r="H61" i="18"/>
  <c r="G70" i="17"/>
  <c r="G71" i="17" s="1"/>
  <c r="I61" i="18" l="1"/>
  <c r="I71" i="17"/>
  <c r="G61" i="18"/>
  <c r="F70" i="17"/>
  <c r="F71" i="17" s="1"/>
  <c r="E21" i="3"/>
  <c r="E19" i="18" s="1"/>
  <c r="F21" i="3"/>
  <c r="F19" i="18" s="1"/>
  <c r="G21" i="3"/>
  <c r="G19" i="18" s="1"/>
  <c r="H21" i="3"/>
  <c r="H19" i="18" s="1"/>
  <c r="I21" i="3"/>
  <c r="I19" i="18" s="1"/>
  <c r="I18" i="3"/>
  <c r="I17" i="18" s="1"/>
  <c r="H18" i="3"/>
  <c r="H17" i="18" s="1"/>
  <c r="G18" i="3"/>
  <c r="G17" i="18" s="1"/>
  <c r="F18" i="3"/>
  <c r="F17" i="18" s="1"/>
  <c r="E18" i="3"/>
  <c r="E17" i="18" s="1"/>
  <c r="F61" i="18" l="1"/>
  <c r="F45" i="3" l="1"/>
  <c r="E45" i="3"/>
  <c r="C53" i="3"/>
  <c r="C41" i="17"/>
  <c r="C45" i="17" s="1"/>
  <c r="D53" i="3"/>
  <c r="J54" i="3" s="1"/>
  <c r="D41" i="17"/>
  <c r="D45" i="17" s="1"/>
  <c r="J46" i="17" s="1"/>
  <c r="J46" i="18" s="1"/>
  <c r="H49" i="3"/>
  <c r="G45" i="3"/>
  <c r="E53" i="3"/>
  <c r="F42" i="17" l="1"/>
  <c r="F42" i="18" s="1"/>
  <c r="G42" i="17"/>
  <c r="G42" i="18" s="1"/>
  <c r="F49" i="3"/>
  <c r="C41" i="18"/>
  <c r="C45" i="18" s="1"/>
  <c r="C21" i="18" s="1"/>
  <c r="C51" i="18" s="1"/>
  <c r="C55" i="18" s="1"/>
  <c r="F53" i="3"/>
  <c r="F54" i="3" s="1"/>
  <c r="C57" i="3"/>
  <c r="D21" i="17"/>
  <c r="D46" i="17"/>
  <c r="C21" i="17"/>
  <c r="E46" i="17"/>
  <c r="E21" i="17"/>
  <c r="D54" i="3"/>
  <c r="D57" i="3"/>
  <c r="D58" i="3" s="1"/>
  <c r="E57" i="3"/>
  <c r="E58" i="3" s="1"/>
  <c r="E54" i="3"/>
  <c r="E42" i="17"/>
  <c r="E42" i="18" s="1"/>
  <c r="D41" i="18"/>
  <c r="D45" i="18" s="1"/>
  <c r="D21" i="18" s="1"/>
  <c r="G41" i="18"/>
  <c r="G45" i="18" s="1"/>
  <c r="D49" i="3"/>
  <c r="D42" i="17"/>
  <c r="D42" i="18" s="1"/>
  <c r="F41" i="18"/>
  <c r="F45" i="18" s="1"/>
  <c r="G49" i="3"/>
  <c r="E41" i="18"/>
  <c r="E45" i="18" s="1"/>
  <c r="E21" i="18" s="1"/>
  <c r="G53" i="3"/>
  <c r="E49" i="3"/>
  <c r="D46" i="18" l="1"/>
  <c r="E46" i="18"/>
  <c r="C65" i="3"/>
  <c r="F57" i="3"/>
  <c r="F58" i="3" s="1"/>
  <c r="E51" i="17"/>
  <c r="E22" i="17"/>
  <c r="E22" i="18" s="1"/>
  <c r="F46" i="17"/>
  <c r="F46" i="18" s="1"/>
  <c r="E65" i="3"/>
  <c r="E66" i="3" s="1"/>
  <c r="D22" i="17"/>
  <c r="D22" i="18" s="1"/>
  <c r="D51" i="17"/>
  <c r="D52" i="17" s="1"/>
  <c r="C51" i="17"/>
  <c r="G46" i="17"/>
  <c r="G46" i="18" s="1"/>
  <c r="H46" i="17"/>
  <c r="H46" i="18" s="1"/>
  <c r="D65" i="3"/>
  <c r="D66" i="3" s="1"/>
  <c r="H54" i="3"/>
  <c r="G57" i="3"/>
  <c r="G58" i="3" s="1"/>
  <c r="G54" i="3"/>
  <c r="E57" i="17" l="1"/>
  <c r="E58" i="17" s="1"/>
  <c r="E52" i="17"/>
  <c r="F65" i="3"/>
  <c r="F66" i="3" s="1"/>
  <c r="C57" i="17"/>
  <c r="D57" i="17"/>
  <c r="D58" i="17" s="1"/>
  <c r="D51" i="18"/>
  <c r="D55" i="18" s="1"/>
  <c r="E51" i="18"/>
  <c r="E55" i="18" s="1"/>
  <c r="E91" i="17" s="1"/>
  <c r="G65" i="3"/>
  <c r="G66" i="3" s="1"/>
  <c r="G82" i="17" l="1"/>
  <c r="G83" i="17" s="1"/>
  <c r="F82" i="17"/>
  <c r="F83" i="17" s="1"/>
  <c r="F84" i="17" s="1"/>
  <c r="H82" i="17"/>
  <c r="H83" i="17" s="1"/>
  <c r="H84" i="17" s="1"/>
  <c r="G67" i="18" l="1"/>
  <c r="G84" i="17"/>
  <c r="H67" i="18"/>
  <c r="F67" i="18"/>
  <c r="G62" i="18" l="1"/>
  <c r="G68" i="18"/>
  <c r="F62" i="18"/>
  <c r="F68" i="18"/>
  <c r="H68" i="18"/>
  <c r="H62" i="18"/>
  <c r="E552" i="9"/>
  <c r="F47" i="17"/>
  <c r="E321" i="9"/>
  <c r="I67" i="18"/>
  <c r="I62" i="18" l="1"/>
  <c r="I68" i="18"/>
  <c r="F21" i="17"/>
  <c r="F47" i="18"/>
  <c r="F21" i="18" s="1"/>
  <c r="F48" i="17"/>
  <c r="F48" i="18" s="1"/>
  <c r="F321" i="9"/>
  <c r="G47" i="17"/>
  <c r="F552" i="9"/>
  <c r="H47" i="17" l="1"/>
  <c r="G552" i="9"/>
  <c r="G321" i="9"/>
  <c r="I47" i="17"/>
  <c r="J48" i="17" s="1"/>
  <c r="J48" i="18" s="1"/>
  <c r="H552" i="9"/>
  <c r="G21" i="17"/>
  <c r="G47" i="18"/>
  <c r="G21" i="18" s="1"/>
  <c r="G48" i="17"/>
  <c r="G48" i="18" s="1"/>
  <c r="F51" i="17"/>
  <c r="F22" i="17"/>
  <c r="F22" i="18" s="1"/>
  <c r="F57" i="17" l="1"/>
  <c r="F58" i="17" s="1"/>
  <c r="F52" i="17"/>
  <c r="I21" i="17"/>
  <c r="J22" i="17" s="1"/>
  <c r="J22" i="18" s="1"/>
  <c r="I47" i="18"/>
  <c r="I21" i="18" s="1"/>
  <c r="I48" i="17"/>
  <c r="I48" i="18" s="1"/>
  <c r="F51" i="18"/>
  <c r="F55" i="18" s="1"/>
  <c r="F91" i="17" s="1"/>
  <c r="G22" i="17"/>
  <c r="G22" i="18" s="1"/>
  <c r="G51" i="17"/>
  <c r="H47" i="18"/>
  <c r="H21" i="18" s="1"/>
  <c r="H48" i="17"/>
  <c r="H48" i="18" s="1"/>
  <c r="H21" i="17"/>
  <c r="G57" i="17" l="1"/>
  <c r="G58" i="17" s="1"/>
  <c r="G52" i="17"/>
  <c r="I22" i="17"/>
  <c r="I22" i="18" s="1"/>
  <c r="I51" i="17"/>
  <c r="H22" i="17"/>
  <c r="H22" i="18" s="1"/>
  <c r="H51" i="17"/>
  <c r="G51" i="18"/>
  <c r="G55" i="18" s="1"/>
  <c r="G91" i="17" s="1"/>
  <c r="H57" i="17" l="1"/>
  <c r="H58" i="17" s="1"/>
  <c r="H52" i="17"/>
  <c r="I57" i="17"/>
  <c r="I58" i="17" s="1"/>
  <c r="I52" i="17"/>
  <c r="H51" i="18"/>
  <c r="H55" i="18" s="1"/>
  <c r="H91" i="17" s="1"/>
  <c r="I51" i="18"/>
  <c r="I55" i="18" s="1"/>
  <c r="I91" i="17" s="1"/>
  <c r="N57" i="17" l="1"/>
  <c r="N55"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Plasse-Ferland, Alexis</author>
  </authors>
  <commentList>
    <comment ref="J5" authorId="0" shapeId="0" xr:uid="{C172EDB3-6056-433D-86EA-2EBC81F4786E}">
      <text>
        <r>
          <rPr>
            <sz val="9"/>
            <color indexed="81"/>
            <rFont val="Tahoma"/>
            <family val="2"/>
          </rPr>
          <t>(1) Il s'agit du taux de croissance annuel moyen, qui correspond à la moyenne géométrique sur cinq ans, soit de 2026-2027 à 2030-2031.</t>
        </r>
      </text>
    </comment>
    <comment ref="B46" authorId="0" shapeId="0" xr:uid="{5E837E4D-9E92-4B3B-BCDC-9E5CF2BC8B0F}">
      <text>
        <r>
          <rPr>
            <sz val="9"/>
            <color indexed="81"/>
            <rFont val="Tahoma"/>
            <family val="2"/>
          </rPr>
          <t>(2) La gestion des dépenses permet au gouvernement de disposer des marges de manœuvre requises pour investir dans les secteurs prioritaires. En assurant un suivi rigoureux des enveloppes budgétaires allouées aux ministères et organismes, le gouvernement favorise le respect des objectifs fixés et permet de dégager des disponibilités budgétaires de l’ordre de 1 % des dépenses de programmes, disponibilités qui sont réallouées en cours d’exercice financier. Sur la base des réinvestissements constatés des dernières années, le rapport préélectoral de 2026 prévoit une réallocation des dépenses gouvernementales de 600 M$ pour chaque année. Ces réallocations correspondent en partie à la marge de manœuvre prévue pour ces exercices et contribuent à maintenir le niveau de services aux citoyens.</t>
        </r>
      </text>
    </comment>
    <comment ref="B54" authorId="0" shapeId="0" xr:uid="{E03749B7-2580-406B-85A2-5E50D8ADDA28}">
      <text>
        <r>
          <rPr>
            <sz val="9"/>
            <color indexed="81"/>
            <rFont val="Tahoma"/>
            <family val="2"/>
          </rPr>
          <t>(3) La croissance de 2028-2029 et de 2029-2030 est affectée par l’effet de la stabilisation des investissements pour des infrastructures appartenant à des tiers et les gestes découlant de l’examen de dépenses. En excluant ces éléments, la croissance serait respectivement de 2,2 % et de 2,0 %.</t>
        </r>
      </text>
    </comment>
    <comment ref="B57" authorId="0" shapeId="0" xr:uid="{C8A1992F-EEE2-4A48-958B-ECB5374B63E8}">
      <text>
        <r>
          <rPr>
            <sz val="9"/>
            <color indexed="81"/>
            <rFont val="Tahoma"/>
            <family val="2"/>
          </rPr>
          <t>(4) Le surplus (déficit) comptable avant écart à résorber correspond au surplus (déficit) comptable présenté dans les documents budgétaires. En conformité avec les exigences de présentation des normes comptables pour le secteur public appliquées lors de la préparation des comptes publics, une illustration du surplus (déficit) comptable lorsque les écarts seront résorbés est disponible à la section 3.1 du rapport préélectoral 2026. Par exemple, en 2028-2029, lorsque l’écart sera résorbé, le surplus comptable s’élèvera à 1 126 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Plasse-Ferland, Alexis</author>
  </authors>
  <commentList>
    <comment ref="K5" authorId="0" shapeId="0" xr:uid="{BB0AA38E-68C7-4CD0-8308-B5E189708B8E}">
      <text>
        <r>
          <rPr>
            <sz val="9"/>
            <color indexed="81"/>
            <rFont val="Tahoma"/>
            <family val="2"/>
          </rPr>
          <t>(11) Pour afficher les impacts dans le cadre simulé, choisissez dans les listes déroulantes le poste budgétaire concerné par chacun de vos engagements. Pour les engagements PQI, choisissez le secteur en-dessous du nom de la mesure.</t>
        </r>
      </text>
    </comment>
    <comment ref="L5" authorId="0" shapeId="0" xr:uid="{388ECA90-8CBD-4F51-BD31-69078FE46644}">
      <text>
        <r>
          <rPr>
            <sz val="9"/>
            <color indexed="81"/>
            <rFont val="Tahoma"/>
            <family val="2"/>
          </rPr>
          <t>(12) Utilisez cet espace pour en dire davantage sur la forme concrète que prendra votre engagement. Voici quelques pistes de réflexion :
a) Pour une modification des revenus :
     –  Qui dans la société en assumera le coût ou en bénéficiera? 
         (critères d'admissibilité par exemple) 
     –  Quels paramètres permettront aux citoyens ou entreprises d'évaluer les impacts sur eux?
         (taux d'imposition ou tarifs par exemple)
b) Pour une modification des dépenses : 
     –  Prévoyez-vous bonifier des services, dégager des gains d'efficacité ou réduire les services?
     –  Comment allez-vous concrétiser cela?</t>
        </r>
      </text>
    </comment>
    <comment ref="B7" authorId="0" shapeId="0" xr:uid="{7B949CE6-5998-4CC6-B0E3-FDD1C5CC554C}">
      <text>
        <r>
          <rPr>
            <sz val="9"/>
            <color indexed="81"/>
            <rFont val="Tahoma"/>
            <family val="2"/>
          </rPr>
          <t xml:space="preserve">(1) Une hausse des revenus est indiquée par un montant positif et une diminution, par un montant négatif. </t>
        </r>
      </text>
    </comment>
    <comment ref="B51" authorId="0" shapeId="0" xr:uid="{01CCD85F-1E0C-4F30-A074-0467A30A235E}">
      <text>
        <r>
          <rPr>
            <sz val="9"/>
            <color indexed="81"/>
            <rFont val="Tahoma"/>
            <family val="2"/>
          </rPr>
          <t xml:space="preserve">(2) Une hausse des dépenses est indiquée par un montant négatif et une diminution, par un montant positif.
</t>
        </r>
      </text>
    </comment>
    <comment ref="B95" authorId="0" shapeId="0" xr:uid="{C4E4D7D0-F5A3-44B5-B9FB-9E4F2341C1E2}">
      <text>
        <r>
          <rPr>
            <sz val="9"/>
            <color indexed="81"/>
            <rFont val="Tahoma"/>
            <family val="2"/>
          </rPr>
          <t>(3) Une hausse des investissements est indiquée par un montant négatif et une diminution, par un montant positif.
(4) La définition d'un organisme public est énoncée dans l'onlget « 3-PQI ».
(5) Inscrire ici le montant de l'investissement. L'impact au cadre financier sera calculé par le simulateur.</t>
        </r>
      </text>
    </comment>
    <comment ref="B217" authorId="0" shapeId="0" xr:uid="{1C1949CA-B7F0-432F-A78E-D12B870E2D4B}">
      <text>
        <r>
          <rPr>
            <sz val="9"/>
            <color indexed="81"/>
            <rFont val="Tahoma"/>
            <family val="2"/>
          </rPr>
          <t>(3) Une hausse des investissements est indiquée par un montant négatif et une diminution, par un montant positif.
(6) La définition d'un organisme subventionné est énoncée dans l'onglet « 3-PQI ».</t>
        </r>
      </text>
    </comment>
    <comment ref="B303" authorId="0" shapeId="0" xr:uid="{5146C5CD-4B98-4750-B47A-B56CFDD50588}">
      <text>
        <r>
          <rPr>
            <sz val="9"/>
            <color indexed="81"/>
            <rFont val="Tahoma"/>
            <family val="2"/>
          </rPr>
          <t>(7) Une hausse de la provision est indiquée par un montant négatif et une diminution, par un montant positif.</t>
        </r>
      </text>
    </comment>
    <comment ref="B304" authorId="0" shapeId="0" xr:uid="{46F5222A-FE2F-43F7-BFCE-DF1E0D6C1C67}">
      <text>
        <r>
          <rPr>
            <sz val="9"/>
            <color indexed="81"/>
            <rFont val="Tahoma"/>
            <family val="2"/>
          </rPr>
          <t>(8) Une hausse de l'écart à résorber est indiquée par un montant positif et une diminution, par un montant négatif.</t>
        </r>
      </text>
    </comment>
    <comment ref="B305" authorId="0" shapeId="0" xr:uid="{C025FB2C-68AF-4C2A-B76C-E4FAF9617725}">
      <text>
        <r>
          <rPr>
            <sz val="9"/>
            <color indexed="81"/>
            <rFont val="Tahoma"/>
            <family val="2"/>
          </rPr>
          <t>(9) Cet ajustement permet de hausser ou de diminuer les revenus qui sont consacrés au Fonds des générations :
      a) Pour consacrer un revenu déjà existant au cadre financier (ex : toute la taxe spécifique sur les boissons alcooliques), il faut inscrire un
           montant négatif, ce qui aura pour effet de verser ces revenus au Fonds des générations.
      b) Pour consacrer au Fonds des générations un nouveau revenu qui n'est pas déjà prévu (ex : nouvelle taxe spécifique), l’utilisateur doit   
           d’abord ajouter cette hausse en positif à la section « Engagements affectant les revenus » et ensuite la verser au Fonds des générations en    
           ajoutant cette même hausse en négatif à la ligne « Versements des revenus consacrés au Fonds des générations ».
(10) À l'exception des effets sur le service de la dette, les effets induits, comme l'impact d'une variation des revenus du Fonds des générations sur les 
      revenus de placement dudit fonds, ne sont pas considérés dans la présente simulation. Si l'utilisateur désire en tenir compte, il doit les ajouter.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Plasse-Ferland, Alexis</author>
  </authors>
  <commentList>
    <comment ref="B3" authorId="0" shapeId="0" xr:uid="{8ED46899-9254-41F4-9011-490FF90869F0}">
      <text>
        <r>
          <rPr>
            <sz val="9"/>
            <color indexed="81"/>
            <rFont val="Tahoma"/>
            <family val="2"/>
          </rPr>
          <t>(1) Voyez ici le cadre financier incluant vos engagements.</t>
        </r>
      </text>
    </comment>
    <comment ref="J5" authorId="0" shapeId="0" xr:uid="{43788607-7E3B-4DEF-8914-2DC5D473EADA}">
      <text>
        <r>
          <rPr>
            <sz val="9"/>
            <color indexed="81"/>
            <rFont val="Tahoma"/>
            <family val="2"/>
          </rPr>
          <t>(2) Il s'agit du taux de croissance annuel moyen, qui correspond à la moyenne géométrique sur cinq ans, soit de 2025-2026 à 2030-2031.</t>
        </r>
      </text>
    </comment>
    <comment ref="B43" authorId="0" shapeId="0" xr:uid="{9BCB829B-0DBF-46A0-BBCC-D20BAB4A8EB6}">
      <text>
        <r>
          <rPr>
            <sz val="9"/>
            <color indexed="81"/>
            <rFont val="Tahoma"/>
            <family val="2"/>
          </rPr>
          <t xml:space="preserve">(3) La gestion des dépenses permet au gouvernement de disposer des marges de manœuvre requises pour investir dans les secteurs prioritaires. </t>
        </r>
      </text>
    </comment>
    <comment ref="B51" authorId="0" shapeId="0" xr:uid="{98C8E204-6C0F-443A-9583-F9DFD6B9E77C}">
      <text>
        <r>
          <rPr>
            <sz val="9"/>
            <color indexed="81"/>
            <rFont val="Tahoma"/>
            <family val="2"/>
          </rPr>
          <t>(4) Le surplus (déficit) comptable avant écart à résorber correspond au surplus (déficit) comptable présenté dans les documents budgétaires.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Plasse-Ferland, Alexis</author>
  </authors>
  <commentList>
    <comment ref="B3" authorId="0" shapeId="0" xr:uid="{C60573FA-CDC9-4FD2-937E-C59B7FFD3E11}">
      <text>
        <r>
          <rPr>
            <sz val="9"/>
            <color indexed="81"/>
            <rFont val="Tahoma"/>
            <family val="2"/>
          </rPr>
          <t>(1) Voyez ici les impacts de vos engagements sur le cadre financier.</t>
        </r>
      </text>
    </comment>
    <comment ref="J5" authorId="0" shapeId="0" xr:uid="{0807EDD1-1770-4821-A878-0D6E6CED3490}">
      <text>
        <r>
          <rPr>
            <sz val="9"/>
            <color indexed="81"/>
            <rFont val="Tahoma"/>
            <family val="2"/>
          </rPr>
          <t>(2) Il s'agit de la différence du taux de croissance annuel moyen entre votre simulation et le rapport préélectoral. Ce taux de croissance annuel moyen correspond à la moyenne géométrique sur cinq ans, soit de 2025-2026 à 2030-2031.</t>
        </r>
      </text>
    </comment>
    <comment ref="B51" authorId="0" shapeId="0" xr:uid="{DFBEBBDA-6C26-40F7-B49E-A08673914409}">
      <text>
        <r>
          <rPr>
            <sz val="9"/>
            <color indexed="81"/>
            <rFont val="Tahoma"/>
            <family val="2"/>
          </rPr>
          <t>(3) Le surplus (déficit) comptable avant écart à résorber correspond au surplus (déficit) comptable présenté dans les documents budgétaires.</t>
        </r>
      </text>
    </comment>
  </commentList>
</comments>
</file>

<file path=xl/sharedStrings.xml><?xml version="1.0" encoding="utf-8"?>
<sst xmlns="http://schemas.openxmlformats.org/spreadsheetml/2006/main" count="1176" uniqueCount="432">
  <si>
    <t>(variation en pourcentage, sauf indication contraire)</t>
  </si>
  <si>
    <t>Production</t>
  </si>
  <si>
    <t>Produit intérieur brut réel</t>
  </si>
  <si>
    <t>Produit intérieur brut nominal</t>
  </si>
  <si>
    <t>Composantes du PIB (en termes réels)</t>
  </si>
  <si>
    <t>Demande intérieure finale</t>
  </si>
  <si>
    <t>–  Consommation des ménages</t>
  </si>
  <si>
    <t>–  Dépenses et investissements des gouvernements</t>
  </si>
  <si>
    <t>–  Investissements résidentiels</t>
  </si>
  <si>
    <t>–  Investissements non résidentiels des entreprises</t>
  </si>
  <si>
    <t>Marché du travail</t>
  </si>
  <si>
    <t>Population (en milliers)</t>
  </si>
  <si>
    <t>Emplois (en milliers)</t>
  </si>
  <si>
    <t>Création d’emplois (en milliers)</t>
  </si>
  <si>
    <t>Autres indicateurs économiques (en termes nominaux)</t>
  </si>
  <si>
    <t>Consommation des ménages</t>
  </si>
  <si>
    <t>Mises en chantier (en milliers d’unités)</t>
  </si>
  <si>
    <t>Investissements résidentiels</t>
  </si>
  <si>
    <t>Investissements non résidentiels des entreprises</t>
  </si>
  <si>
    <t>Salaires et traitements</t>
  </si>
  <si>
    <t>Revenu des ménages</t>
  </si>
  <si>
    <t>Excédent d’exploitation net des sociétés</t>
  </si>
  <si>
    <t>PIB par habitant (en $)</t>
  </si>
  <si>
    <t>Revenu disponible par habitant (en $)</t>
  </si>
  <si>
    <t>Sources : Institut de la statistique du Québec, Statistique Canada, Société canadienne d’hypothèques et de logement et ministère des Finances du Québec.</t>
  </si>
  <si>
    <t>Impôt des particuliers</t>
  </si>
  <si>
    <t>Cotisations pour les services de santé</t>
  </si>
  <si>
    <t>Impôts des sociétés</t>
  </si>
  <si>
    <t>Impôt foncier scolaire</t>
  </si>
  <si>
    <t>Taxes à la consommation</t>
  </si>
  <si>
    <t>Revenus divers</t>
  </si>
  <si>
    <t>Entreprises du gouvernement</t>
  </si>
  <si>
    <t>Revenus autonomes</t>
  </si>
  <si>
    <t xml:space="preserve">  Variation en %</t>
  </si>
  <si>
    <t>Transferts fédéraux</t>
  </si>
  <si>
    <t>Service de la dette</t>
  </si>
  <si>
    <t>Santé et services sociaux</t>
  </si>
  <si>
    <t>Sous-total</t>
  </si>
  <si>
    <t>TOTAL DES ENGAGEMENTS</t>
  </si>
  <si>
    <t>Simulation budgétaire</t>
  </si>
  <si>
    <r>
      <t>Engagements affectant les revenus</t>
    </r>
    <r>
      <rPr>
        <b/>
        <vertAlign val="superscript"/>
        <sz val="9"/>
        <color rgb="FF3A4323"/>
        <rFont val="Century Gothic"/>
        <family val="2"/>
      </rPr>
      <t>(1)</t>
    </r>
  </si>
  <si>
    <t>LISTES</t>
  </si>
  <si>
    <t>2.</t>
  </si>
  <si>
    <t>1.</t>
  </si>
  <si>
    <t>3.</t>
  </si>
  <si>
    <t>4.</t>
  </si>
  <si>
    <t>(en millions de dollars)</t>
  </si>
  <si>
    <t xml:space="preserve">  En % du PIB</t>
  </si>
  <si>
    <t xml:space="preserve">  En % PIB</t>
  </si>
  <si>
    <t>Indice des prix à la consommation</t>
  </si>
  <si>
    <t>Exportations</t>
  </si>
  <si>
    <t>Importations</t>
  </si>
  <si>
    <t>Dette brute du gouvernement du Québec au 31 mars simulée</t>
  </si>
  <si>
    <t>Investissements</t>
  </si>
  <si>
    <t xml:space="preserve">Note : </t>
  </si>
  <si>
    <t>Bienvenue dans le cadre financier détaillé du rapport préélectoral!</t>
  </si>
  <si>
    <t>2024-2025</t>
  </si>
  <si>
    <t>2025-2026</t>
  </si>
  <si>
    <t>2026-2027</t>
  </si>
  <si>
    <t>Éducation</t>
  </si>
  <si>
    <t>MAIQ22F2</t>
  </si>
  <si>
    <t>Enseignement supérieur</t>
  </si>
  <si>
    <t>Famille</t>
  </si>
  <si>
    <t>Affaires municipales et Habitation</t>
  </si>
  <si>
    <t>Autres portefeuilles</t>
  </si>
  <si>
    <t>Dépense non catégorisée</t>
  </si>
  <si>
    <t>Liste pour les dépenses</t>
  </si>
  <si>
    <t>Liste pour les revenus</t>
  </si>
  <si>
    <t>Dette du gouvernement du Québec au 31 mars</t>
  </si>
  <si>
    <t>Dette brute</t>
  </si>
  <si>
    <t>REVENUS</t>
  </si>
  <si>
    <t>DÉPENSES</t>
  </si>
  <si>
    <t>Dépenses de portefeuilles</t>
  </si>
  <si>
    <t>Revenus</t>
  </si>
  <si>
    <t>Dépenses</t>
  </si>
  <si>
    <t>Total des dépenses</t>
  </si>
  <si>
    <t>AVRILQ14F</t>
  </si>
  <si>
    <t>DECQ19_SIGNAUX</t>
  </si>
  <si>
    <t>JANVQ14F</t>
  </si>
  <si>
    <t>JANVQ15F</t>
  </si>
  <si>
    <t>JANVQ15F2</t>
  </si>
  <si>
    <t>JANVQ15F3</t>
  </si>
  <si>
    <t>JANVQ15F4</t>
  </si>
  <si>
    <t>JANVQ16F</t>
  </si>
  <si>
    <t>JANVQ16P</t>
  </si>
  <si>
    <t>JANVQ17F</t>
  </si>
  <si>
    <t>JANVQ17P</t>
  </si>
  <si>
    <t>JANVQ18F</t>
  </si>
  <si>
    <t>JANVQ18P</t>
  </si>
  <si>
    <t>JANVQ19F</t>
  </si>
  <si>
    <t>JANVQ19F2</t>
  </si>
  <si>
    <t>JANVQ19F_POP</t>
  </si>
  <si>
    <t>JANVQ19P</t>
  </si>
  <si>
    <t>JANVQ20F</t>
  </si>
  <si>
    <t>JANVQ20F_V3</t>
  </si>
  <si>
    <t>JANVQ21F</t>
  </si>
  <si>
    <t>JANVQ21F2</t>
  </si>
  <si>
    <t>JANVQ21P</t>
  </si>
  <si>
    <t>JANVQ22F</t>
  </si>
  <si>
    <t>JANVQ22F3</t>
  </si>
  <si>
    <t>JANVQ22P</t>
  </si>
  <si>
    <t>JUILQ18F</t>
  </si>
  <si>
    <t>JUINQ14F</t>
  </si>
  <si>
    <t>JUINQ18F</t>
  </si>
  <si>
    <t>JUINQ20F</t>
  </si>
  <si>
    <t>JUINQ20F2</t>
  </si>
  <si>
    <t>JUINQ20F3</t>
  </si>
  <si>
    <t>JUINQ20F4</t>
  </si>
  <si>
    <t>JUINQ22F</t>
  </si>
  <si>
    <t>MAIQ14F</t>
  </si>
  <si>
    <t>MAIQ22F</t>
  </si>
  <si>
    <t>MAIQ22P</t>
  </si>
  <si>
    <t>NOVQ13F</t>
  </si>
  <si>
    <t>SEPTQ14F</t>
  </si>
  <si>
    <t>SEPTQ14F2</t>
  </si>
  <si>
    <t>SEPTQ14F3</t>
  </si>
  <si>
    <t>SEPTQ14P</t>
  </si>
  <si>
    <t>SEPTQ15F</t>
  </si>
  <si>
    <t>SEPTQ15F2</t>
  </si>
  <si>
    <t>SEPTQ15F3</t>
  </si>
  <si>
    <t>SEPTQ15P</t>
  </si>
  <si>
    <t>SEPTQ16F</t>
  </si>
  <si>
    <t>SEPTQ16F1</t>
  </si>
  <si>
    <t>SEPTQ16P</t>
  </si>
  <si>
    <t>SEPTQ16P2</t>
  </si>
  <si>
    <t>SEPTQ17F</t>
  </si>
  <si>
    <t>SEPTQ17P</t>
  </si>
  <si>
    <t>SEPTQ18F</t>
  </si>
  <si>
    <t>SEPTQ18F2</t>
  </si>
  <si>
    <t>SEPTQ18P</t>
  </si>
  <si>
    <t>SEPTQ19F</t>
  </si>
  <si>
    <t>SEPTQ20F</t>
  </si>
  <si>
    <t>SEPTQ20F2</t>
  </si>
  <si>
    <t>SEPTQ20F3</t>
  </si>
  <si>
    <t>SEPTQ20P</t>
  </si>
  <si>
    <t>SEPTQ21F</t>
  </si>
  <si>
    <t>SEPTQ21F2</t>
  </si>
  <si>
    <t>SEPTQ21F3</t>
  </si>
  <si>
    <t>WINQ10P</t>
  </si>
  <si>
    <t>BanqueEconomique0</t>
  </si>
  <si>
    <t>Modifications comptables</t>
  </si>
  <si>
    <t>Versements des revenus consacrés au Fonds des générations</t>
  </si>
  <si>
    <t>Autres éléments du cadre financier</t>
  </si>
  <si>
    <t>Service de la dette selon le rapport préélectoral</t>
  </si>
  <si>
    <t>Liste déroulante des taux d'intérêts</t>
  </si>
  <si>
    <t>Impact total de vos choix sur le service de la dette</t>
  </si>
  <si>
    <t>Service de la dette simulé</t>
  </si>
  <si>
    <t>JANVC23P</t>
  </si>
  <si>
    <t>JANVQ23F</t>
  </si>
  <si>
    <t>JANVQ23F2</t>
  </si>
  <si>
    <t>JANVQ23P</t>
  </si>
  <si>
    <t>JANVQ24F</t>
  </si>
  <si>
    <t>JANVQ24F2</t>
  </si>
  <si>
    <t>JANVQ24P</t>
  </si>
  <si>
    <t>JANVQ25F</t>
  </si>
  <si>
    <t>JANVQ25F1</t>
  </si>
  <si>
    <t>JANVQ25F2</t>
  </si>
  <si>
    <t>JANVQ25P</t>
  </si>
  <si>
    <t>JANVQ26ERIC</t>
  </si>
  <si>
    <t>JANVQ26F</t>
  </si>
  <si>
    <t>JANVQ26F2</t>
  </si>
  <si>
    <t>JANVQ26F3</t>
  </si>
  <si>
    <t>JANVQ26P</t>
  </si>
  <si>
    <t>MAIQ26P</t>
  </si>
  <si>
    <t>SEPTQ22F</t>
  </si>
  <si>
    <t>SEPTQ22F2</t>
  </si>
  <si>
    <t>SEPTQ22P</t>
  </si>
  <si>
    <t>SEPTQ23F</t>
  </si>
  <si>
    <t>SEPTQ23F2</t>
  </si>
  <si>
    <t>SEPTQ23F3</t>
  </si>
  <si>
    <t>SEPTQ23P</t>
  </si>
  <si>
    <t>SEPTQ24F</t>
  </si>
  <si>
    <t>SEPTQ24F2</t>
  </si>
  <si>
    <t>SEPTQ24P</t>
  </si>
  <si>
    <t>SEPTQ25F</t>
  </si>
  <si>
    <t>SEPTQ25P</t>
  </si>
  <si>
    <t>Partie II : Le simulateur des finances publiques</t>
  </si>
  <si>
    <t>5.</t>
  </si>
  <si>
    <t>Résultats de simulation</t>
  </si>
  <si>
    <t>6.</t>
  </si>
  <si>
    <t>2027-2028</t>
  </si>
  <si>
    <t>2028-2029</t>
  </si>
  <si>
    <t>2029-2030</t>
  </si>
  <si>
    <t>2030-2031</t>
  </si>
  <si>
    <t>Écart à résorber</t>
  </si>
  <si>
    <t xml:space="preserve">   En % du PIB</t>
  </si>
  <si>
    <t>Provision pour éventualités</t>
  </si>
  <si>
    <r>
      <rPr>
        <b/>
        <sz val="8"/>
        <color theme="4" tint="-0.499984740745262"/>
        <rFont val="Century Gothic"/>
        <family val="2"/>
      </rPr>
      <t>TCAM</t>
    </r>
    <r>
      <rPr>
        <b/>
        <vertAlign val="superscript"/>
        <sz val="8"/>
        <color theme="4" tint="-0.499984740745262"/>
        <rFont val="Century Gothic"/>
        <family val="2"/>
      </rPr>
      <t>(1)</t>
    </r>
  </si>
  <si>
    <t xml:space="preserve">Note : Les chiffres ayant été arrondis, leur somme peut ne pas correspondre au total indiqué.
Le Plan québécois des infrastructures 2026-2036 est accessible à : </t>
  </si>
  <si>
    <t>https://cdn-contenu.quebec.ca/cdn-contenu/adm/min/secretariat-du-conseil-du-tresor/publications-adm/budgets/2026-2027/6_plan_quebecois_infrastructures.pdf</t>
  </si>
  <si>
    <t>Investissements du Plan québécois des infrastructures (PQI) 2026-2036</t>
  </si>
  <si>
    <t>Dette nette</t>
  </si>
  <si>
    <r>
      <t xml:space="preserve">Cadre financier simulé </t>
    </r>
    <r>
      <rPr>
        <b/>
        <sz val="11"/>
        <color theme="3" tint="-0.249977111117893"/>
        <rFont val="Calibri"/>
        <family val="2"/>
      </rPr>
      <t>–</t>
    </r>
    <r>
      <rPr>
        <b/>
        <sz val="11"/>
        <color theme="3" tint="-0.249977111117893"/>
        <rFont val="Century Gothic"/>
        <family val="2"/>
      </rPr>
      <t xml:space="preserve"> 2025-2026 à 2030-2031</t>
    </r>
    <r>
      <rPr>
        <b/>
        <vertAlign val="superscript"/>
        <sz val="11"/>
        <color theme="3" tint="-0.249977111117893"/>
        <rFont val="Century Gothic"/>
        <family val="2"/>
      </rPr>
      <t>(1)</t>
    </r>
  </si>
  <si>
    <t>Dette nette du gouvernement du Québec au 31 mars simulée</t>
  </si>
  <si>
    <r>
      <rPr>
        <b/>
        <sz val="8"/>
        <color theme="4" tint="-0.499984740745262"/>
        <rFont val="Century Gothic"/>
        <family val="2"/>
      </rPr>
      <t>TCAM</t>
    </r>
    <r>
      <rPr>
        <b/>
        <vertAlign val="superscript"/>
        <sz val="8"/>
        <color theme="4" tint="-0.499984740745262"/>
        <rFont val="Century Gothic"/>
        <family val="2"/>
      </rPr>
      <t>(2)</t>
    </r>
  </si>
  <si>
    <t>Droits, permis et redevances</t>
  </si>
  <si>
    <t>Environnement, Lutte contre les changements climatiques, Faune et Parcs</t>
  </si>
  <si>
    <t>Variation de la dette brute</t>
  </si>
  <si>
    <t>Variation de la dette brute du gouvernement du Québec au 31 mars</t>
  </si>
  <si>
    <t>Variation de la dette nette du gouvernement du Québec au 31 mars</t>
  </si>
  <si>
    <t>Variation de la dette nette</t>
  </si>
  <si>
    <t>Engagements affectant le cadre financier</t>
  </si>
  <si>
    <t>Sous-total – Revenus</t>
  </si>
  <si>
    <t>7.</t>
  </si>
  <si>
    <t>Sous-total – Dépenses</t>
  </si>
  <si>
    <t>Impact cumulatif des engagements au cadre financier</t>
  </si>
  <si>
    <t>Impact des engagements au service de la dette</t>
  </si>
  <si>
    <t>Ajouts (retraits) à la dette nette</t>
  </si>
  <si>
    <t>Ajouts (retraits) à la dette brute</t>
  </si>
  <si>
    <t>–   [Insérez des lignes au-dessus au besoin]</t>
  </si>
  <si>
    <t>–   [Insérez des lignes au-dessus d'ici au besoin]</t>
  </si>
  <si>
    <r>
      <t>Engagements affectant directement les dépenses de portefeuilles</t>
    </r>
    <r>
      <rPr>
        <b/>
        <vertAlign val="superscript"/>
        <sz val="9"/>
        <color rgb="FF660033"/>
        <rFont val="Century Gothic"/>
        <family val="2"/>
      </rPr>
      <t>(2)</t>
    </r>
  </si>
  <si>
    <t>Sous-total – Dépenses de portefeuilles directes</t>
  </si>
  <si>
    <t>Total engagements + service de la dette</t>
  </si>
  <si>
    <t>Organismes publics</t>
  </si>
  <si>
    <t>Organismes subventionnés</t>
  </si>
  <si>
    <t>Impacts au cadre financier</t>
  </si>
  <si>
    <t>Sous-total – Impacts au cadre financier du PQI pour les organismes publics</t>
  </si>
  <si>
    <t>Sous-total – Impacts au cadre financier du PQI pour les organismes subventionnés</t>
  </si>
  <si>
    <t>DETTE NETTE SIMULÉE</t>
  </si>
  <si>
    <t>DETTE BRUTE SIMULÉE</t>
  </si>
  <si>
    <t>Impact financier du PQI pour les organismes publics</t>
  </si>
  <si>
    <t>Transports et Mobilité durable</t>
  </si>
  <si>
    <t>Emploi et Solidarité sociale</t>
  </si>
  <si>
    <t>Économie, Innovation et Énergie</t>
  </si>
  <si>
    <t>Santé et Services sociaux</t>
  </si>
  <si>
    <r>
      <t xml:space="preserve">  Variation en %</t>
    </r>
    <r>
      <rPr>
        <b/>
        <i/>
        <vertAlign val="superscript"/>
        <sz val="8"/>
        <color rgb="FF660033"/>
        <rFont val="Century Gothic"/>
        <family val="2"/>
      </rPr>
      <t>(3)</t>
    </r>
  </si>
  <si>
    <t>SOLDE BUDGÉTAIRE</t>
  </si>
  <si>
    <t>Cadre financier de 2025-2026 à 2030-2031</t>
  </si>
  <si>
    <t>Choississez un taux d'intérêts pour le service de la dette</t>
  </si>
  <si>
    <t>Total PQI 2026-2036</t>
  </si>
  <si>
    <t>Investissements du Plan québécois des infrastructures 2026-2036</t>
  </si>
  <si>
    <t>Les autres éléments du cadre financier incluent la provision pour éventualités, l'écart à résorber et le versement des revenus consacrés au Fonds des générations</t>
  </si>
  <si>
    <t>–   Nom de l'engagement</t>
  </si>
  <si>
    <t>–  Nom de l'engagement</t>
  </si>
  <si>
    <t>Total des investissements par portefeuile</t>
  </si>
  <si>
    <t>Amortissement par portefeuile</t>
  </si>
  <si>
    <t>Total annuel – PQI organisme public au rythme des investissements réalisé</t>
  </si>
  <si>
    <t>Total cumulatif – PQI organisme public au rythme des investissements réalisé</t>
  </si>
  <si>
    <t>Total annuel – amortissement PQI organisme public au rythme des investissements réalisé</t>
  </si>
  <si>
    <t>Total cumulatif – PQI organisme public au rythme des investissements réalisé net de l'amortissement</t>
  </si>
  <si>
    <t>Total cumulatif – amortissement PQI organisme public au rythme des investissements réalisé</t>
  </si>
  <si>
    <t>Total annuel – PQI organisme public au rythme des investissements réalisé net de l'amortissement</t>
  </si>
  <si>
    <t>Impact cumulatif des dépenses du PQI pour les organismes publics, nettes de l'amortissement</t>
  </si>
  <si>
    <t>Immeubles de bureaux, palais de justice, centres de détention, postes de la Sûreté du Québec</t>
  </si>
  <si>
    <t>Installations de formation et de recherche en agriculture, chemins multiressources sur les terres publiques</t>
  </si>
  <si>
    <t>Musées privés, bibliothèques municipaux, salles de spectacle, complexes culturels</t>
  </si>
  <si>
    <t>Musées nationaux, Grande bibliothèque</t>
  </si>
  <si>
    <t>Complexes et équipements sportifs municipaux</t>
  </si>
  <si>
    <t>Infrastructures de sports et de loisirs dans les cours d'écoles</t>
  </si>
  <si>
    <t>Infrastructures numériques sur le territoire du Québec et infrastructures communautaires autochtones</t>
  </si>
  <si>
    <t>Infrastructures diverses du nord incluant les réfections des routes du nord</t>
  </si>
  <si>
    <t>Développement de terrains à fort potentiel d’attraction, entrepreneuriat collectif</t>
  </si>
  <si>
    <t>Immeubles et équipements des centres de services scolaires et commissions scolaires</t>
  </si>
  <si>
    <t>Immeubles et équipements des cégeps et de l'Université du Québec</t>
  </si>
  <si>
    <t>immeubles et équipements des universités à charte</t>
  </si>
  <si>
    <t>Usines de biométhanisation et de compostage, barrages municipaux</t>
  </si>
  <si>
    <t>Barrages publics, infrastructures associées à l’adaptation aux changements climatiques</t>
  </si>
  <si>
    <t>Logements sociaux et communautaires</t>
  </si>
  <si>
    <t>Usines de traitement des eaux, conduites d’aqueduc et d’égouts, parcs et infrastructures municipales</t>
  </si>
  <si>
    <t>Laboratoires, équipements et centres de recherche</t>
  </si>
  <si>
    <t>Autoroutes, routes, tunnels, ponts, échangeurs, viaducs</t>
  </si>
  <si>
    <t>Ressources informationnelles des ministères et organismes du gouvernement</t>
  </si>
  <si>
    <t>Immeubles et équipements des établissements de santé</t>
  </si>
  <si>
    <t>Immeubles et équipements des établissements de CPE</t>
  </si>
  <si>
    <t>Complexes et équipements touristiques, centres de congrès</t>
  </si>
  <si>
    <t>Installations dans les parcs nationaux</t>
  </si>
  <si>
    <t>Métro, autobus, trains de banlieue, tramways, quais, gares, garages, centres d’entretien, voies réservées, tunnels, voies ferrées</t>
  </si>
  <si>
    <t>Transports maritime, aérien, ferroviaire et autres</t>
  </si>
  <si>
    <t>–  ITA de Saint-Hyacinthe</t>
  </si>
  <si>
    <t xml:space="preserve">    </t>
  </si>
  <si>
    <t>Produit intérieur brut nominal (en M$)</t>
  </si>
  <si>
    <t>Population de 15 ans et plus – Enquête sur la population active (en milliers)</t>
  </si>
  <si>
    <t>Taux de chômage (en pourcentage)</t>
  </si>
  <si>
    <t>Tableau de contrôle de conformité de la simulation</t>
  </si>
  <si>
    <t>Nombre de montants aux revenus qui n'ont pas de postes budgétaires identifiés</t>
  </si>
  <si>
    <t>Nombre de montants aux dépenses qui n'ont pas de postes budgétaires identifiés</t>
  </si>
  <si>
    <t>–  Excluant les produits alimentaires et le logement</t>
  </si>
  <si>
    <t>Moins : Versement des revenus consacrés
au Fonds des générations</t>
  </si>
  <si>
    <t>La Loi sur l'équilibre budgétaire</t>
  </si>
  <si>
    <t>La Loi sur l’équilibre budgétaire a pour objectif d’équilibrer le budget du gouvernement. À cette fin, elle limite les circonstances pouvant entraîner la prévision d’un déficit budgétaire et prévoit, dans certains cas et en toute transparence, un processus de retour à l’équilibre budgétaire.</t>
  </si>
  <si>
    <t>La Loi sur l’équilibre budgétaire a été adoptée par l’Assemblée nationale en 1996, puis modernisée en décembre 2023. Cette loi précise le calcul du solde budgétaire et édicte les règles applicables lorsqu’un déficit budgétaire est prévu ou constaté.
En vertu de la Loi, le gouvernement ne peut prévoir aucun déficit budgétaire, sauf dans l’une des trois circonstances particulières suivantes :
 – une catastrophe ayant un impact majeur sur les revenus et les dépenses;
 – une détérioration importante des conditions économiques;
 – une modification dans les programmes de transferts fédéraux aux provinces qui réduirait de façon substantielle les paiements de transfert versés au gouvernement.
La Loi prévoit également la présentation d’un plan de retour à l’équilibre budgétaire lorsque le déficit budgétaire constaté pour une année financière donnée dépasse les revenus comptabilisés au Fonds des générations pour cette année, et elle précise les cas où un tel plan peut être remplacé.
Le plan doit présenter des déficits décroissants sur une durée maximale de cinq ans et prévoir pour l’année financière précédant celle du retour à l’équilibre budgétaire un déficit représentant 25 % ou moins du déficit budgétaire visé au paragraphe précédent.</t>
  </si>
  <si>
    <t>Plan de retour à l’équilibre budgétaire</t>
  </si>
  <si>
    <t>L'analyse de sensibilité</t>
  </si>
  <si>
    <t>Effets de chocs externes sur le taux de croissance du PIB réel du Québec</t>
  </si>
  <si>
    <t>Chocs externes de 1 %</t>
  </si>
  <si>
    <r>
      <rPr>
        <b/>
        <sz val="9"/>
        <color theme="3" tint="-0.249977111117893"/>
        <rFont val="Century Gothic"/>
        <family val="2"/>
      </rPr>
      <t>Maturité</t>
    </r>
    <r>
      <rPr>
        <b/>
        <vertAlign val="superscript"/>
        <sz val="9"/>
        <color theme="3" tint="-0.249977111117893"/>
        <rFont val="Century Gothic"/>
        <family val="2"/>
      </rPr>
      <t>(1)</t>
    </r>
    <r>
      <rPr>
        <sz val="9"/>
        <color theme="3" tint="-0.249977111117893"/>
        <rFont val="Century Gothic"/>
        <family val="2"/>
      </rPr>
      <t xml:space="preserve">
(en trimestres)</t>
    </r>
  </si>
  <si>
    <r>
      <rPr>
        <b/>
        <sz val="9"/>
        <color theme="3" tint="-0.249977111117893"/>
        <rFont val="Century Gothic"/>
        <family val="2"/>
      </rPr>
      <t>Impacts sur le PIB réel du Québec</t>
    </r>
    <r>
      <rPr>
        <sz val="9"/>
        <color theme="3" tint="-0.249977111117893"/>
        <rFont val="Century Gothic"/>
        <family val="2"/>
      </rPr>
      <t xml:space="preserve">
(en point de pourcentage)</t>
    </r>
  </si>
  <si>
    <t>PIB réel américain</t>
  </si>
  <si>
    <t>PIB réel ontarien</t>
  </si>
  <si>
    <t>Les effets des variables externes sur l’économie du Québec</t>
  </si>
  <si>
    <t>Les revenus autonomes</t>
  </si>
  <si>
    <t>La prévision du PIB nominal est en général un bon indicateur de la croissance des revenus autonomes, étant donné le lien direct qui existe entre les assiettes taxables et le PIB nominal.
— Selon les estimations du ministère des Finances, une variation de 1 point de pourcentage du PIB nominal a un impact de l’ordre de 1,2 milliard de dollars sur les revenus autonomes du gouvernement.
Cette analyse de sensibilité est fondée sur une révision de chacune des assiettes taxables, proportionnelle à la révision du PIB nominal.
— Dans les faits, une évolution différente de la croissance économique et du contexte géopolitique peut toucher davantage certaines variables, affectant de manière plus importante que d’autres certaines assiettes taxables.
Les analyses de sensibilité établissent une relation historique moyenne entre l’évolution des revenus autonomes et la croissance du PIB nominal. Toutefois, bien que cette relation soit généralement fiable, elle peut ne pas se maintenir lors d’une période donnée en raison de circonstances exceptionnelles ou de conditions économiques particulières.
— En effet, les fluctuations économiques peuvent avoir des effets variés sur les revenus en raison de changements de comportement des agents économiques.
— Dans ces situations, il est possible d’observer une variation des revenus autonomes qui peut être plus ou moins importante par rapport à celle du PIB nominal.</t>
  </si>
  <si>
    <t>Sensibilité des revenus autonomes excluant ceux des entreprises du gouvernement
aux principales variables économiques</t>
  </si>
  <si>
    <t>Variables</t>
  </si>
  <si>
    <t>Prévisions de
croissance pour 2026</t>
  </si>
  <si>
    <t>Impacts pour l'année
financière 2026-2027</t>
  </si>
  <si>
    <t>PIB nominal</t>
  </si>
  <si>
    <t>Assurance-emploi</t>
  </si>
  <si>
    <t>Revenus de pension</t>
  </si>
  <si>
    <t>Excédent d'exploitation net
des sociétés</t>
  </si>
  <si>
    <t>Consommation excluant les produits alimentaires et le logement</t>
  </si>
  <si>
    <t>3,4 %</t>
  </si>
  <si>
    <t>3,3 %</t>
  </si>
  <si>
    <t>12,4 %</t>
  </si>
  <si>
    <t>4,5 %</t>
  </si>
  <si>
    <t>4,8 %</t>
  </si>
  <si>
    <t>3,5 %</t>
  </si>
  <si>
    <t>3,1 %</t>
  </si>
  <si>
    <r>
      <t>Une variation de 1 point de pourcentage modifie les revenus autonomes</t>
    </r>
    <r>
      <rPr>
        <vertAlign val="superscript"/>
        <sz val="9"/>
        <color theme="3" tint="-0.249977111117893"/>
        <rFont val="Century Gothic"/>
        <family val="2"/>
      </rPr>
      <t>(1)</t>
    </r>
    <r>
      <rPr>
        <sz val="9"/>
        <color theme="3" tint="-0.249977111117893"/>
        <rFont val="Century Gothic"/>
        <family val="2"/>
      </rPr>
      <t xml:space="preserve"> de l’ordre de 1,2 G$.</t>
    </r>
  </si>
  <si>
    <t>Une variation de 1 point de pourcentage modifie les revenus de l’impôt des particuliers de l’ordre de 500 M$.</t>
  </si>
  <si>
    <t>Une variation de 1 point de pourcentage modifie les revenus de l’impôt des particuliers de l’ordre de 
70 M$.</t>
  </si>
  <si>
    <t>Une variation de 1 point de pourcentage modifie les revenus des impôts des sociétés de l’ordre de 70 M$.</t>
  </si>
  <si>
    <t>Une variation de 1 point de pourcentage modifie les revenus de la TVQ de l’ordre de 240 M$.</t>
  </si>
  <si>
    <t>Une variation de 1 point de pourcentage modifie les revenus de la TVQ de l’ordre de 50 M$.</t>
  </si>
  <si>
    <t>Une variation de 1 point de pourcentage modifie les revenus de l’impôt des particuliers de l’ordre de 
10 M$.</t>
  </si>
  <si>
    <t>(1) Il s’agit des revenus autonomes excluant ceux des entreprises du gouvernement.</t>
  </si>
  <si>
    <t>La situation financière du Québec</t>
  </si>
  <si>
    <t>L’évolution du conflit commercial avec les États-Unis constitue le principal risque entourant le scénario de référence. D’autres risques pourraient également faire dévier l’économie québécoise de la trajectoire prévue. Notamment, une évolution différente de l’inflation par rapport à celle attendue dans le scénario de référence, en raison par exemple d’une escalade des tensions au Moyen-Orient, aurait des effets sur les paramètres et les hypothèses sur lesquels reposent les prévisions des composantes du cadre financier. Ainsi, les résultats des analyses de sensibilité pourraient différer sensiblement de ceux initialement attendus.</t>
  </si>
  <si>
    <t>Marges de prudence</t>
  </si>
  <si>
    <t>Risques</t>
  </si>
  <si>
    <t>Principaux risques à la situation financière du Québec</t>
  </si>
  <si>
    <t>Cadre financier</t>
  </si>
  <si>
    <t>Variables économiques</t>
  </si>
  <si>
    <t>Impact des variables externes
sur l’économie du Québec :</t>
  </si>
  <si>
    <t>– variation de 1 point de pourcentage
du PIB réel des États-Unis</t>
  </si>
  <si>
    <t>– variation de 1 point de pourcentage
du PIB réel de l’Ontario</t>
  </si>
  <si>
    <t>Ralentissement mondial</t>
  </si>
  <si>
    <t>– variation de 1 point de pourcentage du PIB nominal du Québec (équivalant à une variation de 1 point de pourcentage de la croissance de l’indice des prix à la consommation)</t>
  </si>
  <si>
    <r>
      <t>– récession type</t>
    </r>
    <r>
      <rPr>
        <vertAlign val="superscript"/>
        <sz val="9"/>
        <color theme="3" tint="-0.249977111117893"/>
        <rFont val="Century Gothic"/>
        <family val="2"/>
      </rPr>
      <t>(3)</t>
    </r>
  </si>
  <si>
    <t>Variation de 1 °C de la température hivernale comparativement à la température normale</t>
  </si>
  <si>
    <t>Variation de 0,1 point de pourcentage de la part de la population québécoise dans le Canada</t>
  </si>
  <si>
    <t>Impact sur les revenus de transferts fédéraux de 255 M$</t>
  </si>
  <si>
    <t>Dépenses imprévues pouvant survenir dans l’un ou l’autre des programmes gouvernementaux</t>
  </si>
  <si>
    <t>Variation de 1 point de pourcentage
de la population totale</t>
  </si>
  <si>
    <t>Variation de 1 point de pourcentage
du niveau général des prix</t>
  </si>
  <si>
    <r>
      <t>Catastrophe naturelle</t>
    </r>
    <r>
      <rPr>
        <vertAlign val="superscript"/>
        <sz val="9"/>
        <color theme="3" tint="-0.249977111117893"/>
        <rFont val="Century Gothic"/>
        <family val="2"/>
      </rPr>
      <t>(4)</t>
    </r>
  </si>
  <si>
    <t>Taux de réalisation des investissements publics en immobilisations pour une année donnée (écart de 5 %)</t>
  </si>
  <si>
    <t>Impact indéterminé</t>
  </si>
  <si>
    <t>Impact sur les dépenses de 1 270 M$</t>
  </si>
  <si>
    <t>Impact sur les dépenses de 760 M$</t>
  </si>
  <si>
    <t>Impact sur les dépenses (amortissements, subventions pour des infrastructures n’appartenant pas au gouvernement et intérêts) de 331 M$</t>
  </si>
  <si>
    <r>
      <t>Estimation de l'impact</t>
    </r>
    <r>
      <rPr>
        <b/>
        <vertAlign val="superscript"/>
        <sz val="9"/>
        <color theme="3" tint="-0.249977111117893"/>
        <rFont val="Century Gothic"/>
        <family val="2"/>
      </rPr>
      <t>(1)</t>
    </r>
  </si>
  <si>
    <t xml:space="preserve">Variation de 1 point de pourcentage
des taux d’intérêt </t>
  </si>
  <si>
    <t>Variation de 1 point de pourcentage
du rendement du FARR</t>
  </si>
  <si>
    <r>
      <t>Impact sur le service de la dette 
de 35 M$</t>
    </r>
    <r>
      <rPr>
        <vertAlign val="superscript"/>
        <sz val="9"/>
        <color theme="3" tint="-0.249977111117893"/>
        <rFont val="Century Gothic"/>
        <family val="2"/>
      </rPr>
      <t>(6)</t>
    </r>
  </si>
  <si>
    <r>
      <t>Impact sur le service de la dette 
de 640 M$</t>
    </r>
    <r>
      <rPr>
        <vertAlign val="superscript"/>
        <sz val="9"/>
        <color theme="3" tint="-0.249977111117893"/>
        <rFont val="Century Gothic"/>
        <family val="2"/>
      </rPr>
      <t>(5)</t>
    </r>
  </si>
  <si>
    <r>
      <t>Impact sur les revenus autonomes</t>
    </r>
    <r>
      <rPr>
        <vertAlign val="superscript"/>
        <sz val="9"/>
        <color theme="3" tint="-0.249977111117893"/>
        <rFont val="Century Gothic"/>
        <family val="2"/>
      </rPr>
      <t>(2)</t>
    </r>
    <r>
      <rPr>
        <sz val="9"/>
        <color theme="3" tint="-0.249977111117893"/>
        <rFont val="Century Gothic"/>
        <family val="2"/>
      </rPr>
      <t xml:space="preserve"> 
de 10,8 G$ sur 5 ans</t>
    </r>
  </si>
  <si>
    <r>
      <t>Impact sur les revenus autonomes</t>
    </r>
    <r>
      <rPr>
        <vertAlign val="superscript"/>
        <sz val="9"/>
        <color theme="3" tint="-0.249977111117893"/>
        <rFont val="Century Gothic"/>
        <family val="2"/>
      </rPr>
      <t>(2)</t>
    </r>
    <r>
      <rPr>
        <sz val="9"/>
        <color theme="3" tint="-0.249977111117893"/>
        <rFont val="Century Gothic"/>
        <family val="2"/>
      </rPr>
      <t xml:space="preserve"> 
de 1,2 G$</t>
    </r>
  </si>
  <si>
    <t>Impact sur le PIB réel du Québec 
de 0,42 point de pourcentage</t>
  </si>
  <si>
    <t>Impact sur le PIB réel du Québec 
de 0,45 point de pourcentage</t>
  </si>
  <si>
    <t>8.</t>
  </si>
  <si>
    <t>Table d'appariement pour les secteurs du PQI - Périmètre comptable</t>
  </si>
  <si>
    <t>Table d'appariement pour les secteurs du PQI - Organisme public</t>
  </si>
  <si>
    <t>Ce tableau présente les investissements en infrastructures prévus dans le Plan québécois des infrastructures 2026-2036 et explique la différence entre les organismes publics et les organismes subventionnés.</t>
  </si>
  <si>
    <t>Révisions par rapport au rapport préélectoral</t>
  </si>
  <si>
    <t>Provision au Fonds de suppléance :
– 200 M$ par année de 2026-2027 à 
   2030-2031</t>
  </si>
  <si>
    <t>Cette partie présente les données et un rappel de certains éléments publiés dans le cadre du rapport préélectoral.</t>
  </si>
  <si>
    <t xml:space="preserve">Dette nette selon le rapport préélectoral </t>
  </si>
  <si>
    <t xml:space="preserve">Dette brute selon le rapport préélectoral </t>
  </si>
  <si>
    <t>Réallocation des dépenses en cours d'exercice</t>
  </si>
  <si>
    <r>
      <rPr>
        <sz val="8"/>
        <color rgb="FF660033"/>
        <rFont val="Century Gothic"/>
        <family val="2"/>
      </rPr>
      <t>Réallocation des dépenses en cours d'exercice</t>
    </r>
    <r>
      <rPr>
        <vertAlign val="superscript"/>
        <sz val="8"/>
        <color rgb="FF660033"/>
        <rFont val="Century Gothic"/>
        <family val="2"/>
      </rPr>
      <t>(3)</t>
    </r>
  </si>
  <si>
    <t>Le parc des organismes subventionnés regroupe principalement les infrastructures des municipalités, des sociétés de transport en commun, des universités à chartes ou privées ainsi que les centres de la petite enfance.</t>
  </si>
  <si>
    <t>Provision pour éventualités :
– 2,0 G$ en 2026-2027
– 1,5 G$ par année de 2027-2028 à 
   2030-2031</t>
  </si>
  <si>
    <t>–  Construction de nouvelles écoles primaires</t>
  </si>
  <si>
    <t>PREMIÈRE ÉTAPE – FAITES VOS CHOIX POUR DES INITIATIVES AYANT UN IMPACT SUR LE CADRE FINANCIER OU LA DETTE</t>
  </si>
  <si>
    <t>TROISIÈME ÉTAPE – FAITES VOTRE CHOIX QUANT À l'INTÉRÊT PAYÉ SUR LE SERVICE DE LA DETTE</t>
  </si>
  <si>
    <t>Partie I : Les résultats du rapport préélectoral</t>
  </si>
  <si>
    <t xml:space="preserve">Cadre financier et simulateur des finances publiques </t>
  </si>
  <si>
    <t>Valeur par défaut</t>
  </si>
  <si>
    <t>Impact cumulatif des éléments affectant la dette</t>
  </si>
  <si>
    <t>Impact sur le bénéfice net 
d’Hydro-Québec de 25 M$</t>
  </si>
  <si>
    <t>Rapport préélectoral sur l’état des finances publiques du Québec – Août 2026</t>
  </si>
  <si>
    <t>Ce tableau présente le sommaire des principaux indicateurs économiques au Québec jusqu’en 2030.</t>
  </si>
  <si>
    <t xml:space="preserve">Le cadre financier présente les revenus par sources et les dépenses prévues jusqu’en 2030-2031. </t>
  </si>
  <si>
    <t>La Loi sur l’équilibre budgétaire</t>
  </si>
  <si>
    <t>Cette partie vous permet de faire une simulation dans laquelle vous proposez des engagements et indiquez l’impact qu’ils auraient sur le cadre financier du gouvernement du Québec.</t>
  </si>
  <si>
    <t>Le contenu du fichier a été verrouillé pour prévenir les erreurs de manipulation. Si vous êtes un utilisateur avancé, vous pouvez déverrouiller les feuilles avec le bouton « Ôter la protection de la feuille » dans l’onglet Révision du ruban.</t>
  </si>
  <si>
    <t>–  Excluant les aliments et l’énergie</t>
  </si>
  <si>
    <t>L’analyse de sensibilité</t>
  </si>
  <si>
    <t>Cette feuille rappelle les dispositions de la Loi sur l’équilibre budgétaire, qui a pour objectif d’équilibrer le budget du gouvernement. À cette fin, cette loi limite les circonstances pouvant entraîner la prévision d’un déficit budgétaire et prévoit, dans certains cas et en toute transparence, un processus de retour à l’équilibre budgétaire.</t>
  </si>
  <si>
    <t>Le ministère des Finances publie régulièrement des analyses de sensibilité où il estime l’impact de la variation d’une variable sur la projection économique ou le cadre financier.
Les estimations publiées dans le rapport préélectoral sont répétées ici afin de guider vos calculs dans le cadre de la simulation du cadre financier.</t>
  </si>
  <si>
    <t>Cette feuille affiche les résultats de simulation pour le cadre financier, la dette nette et la dette brute, à la suite de la saisie de vos engagements dans la feuille précédente.</t>
  </si>
  <si>
    <t>Cette feuille affiche les révisions au cadre financier et à la dette dues aux différences entre votre simulation et les résultats du rapport préélectoral.</t>
  </si>
  <si>
    <t>nd</t>
  </si>
  <si>
    <t>(en millions de dollars, sauf indication contraire)</t>
  </si>
  <si>
    <t>Moyenne 
2026-2027 à 2035-2036</t>
  </si>
  <si>
    <t xml:space="preserve">Bien que le scénario de prévision de référence du ministère des Finances soit centré, il n'est pas à l'abri des aléas qui pourraient influencer l'évolution de l'activité économique ou du cadre financier, tant à la baisse qu'à la hausse.
À ce titre le Ministère publie régulièrement des analyses de sensibilité où il estime l'impact d'une variation d'un paramètre sur la projection économique ou le cadre financier.
Les estimations publiées dans le cadre du rapport préélectoral 2026 sont répétées ici afin de guider vos calculs dans la simulation du cadre financier.
Veuillez noter que ces estimations sont des simplifications ayant l'objectif de donner au lecteur une idée plausible des variations possibles, et non pas le résultat qui serait calculé par le Ministère si un tel choc se produisait.
</t>
  </si>
  <si>
    <t>(1) À moins d’indication contraire, il s’agit de l’impact financier annuel.
(2) Il s’agit des revenus autonomes excluant ceux des entreprises du gouvernement.
(3) Les scénarios alternatifs sont présentés à la section 7 du rapport préélectoral 2026.
(4) Les catastrophes naturelles comprennent les incidences liées aux changements climatiques.
(5) À terme, à la cinquième année, l’impact d’une hausse plus importante que prévu des taux d’intérêt de 1 point de pourcentage entraînerait une augmentation du service de la dette de 1,8 G$.
(6) À terme, à la cinquième année, l’impact d’un rendement du Fonds d'amortissement des régimes de retraites (FARR), plus faible que prévu de 1 point de pourcentage entraînerait une augmentation du service de la dette de 209 M$.</t>
  </si>
  <si>
    <r>
      <t>Réallocation des dépenses en cours d’exercice</t>
    </r>
    <r>
      <rPr>
        <vertAlign val="superscript"/>
        <sz val="8"/>
        <color rgb="FF660033"/>
        <rFont val="Century Gothic"/>
        <family val="2"/>
      </rPr>
      <t>(2)</t>
    </r>
  </si>
  <si>
    <t>Engagements affectant les revenus (ex.: impôts, cotisations pour les services de santé, taxes à la consommation, droits, permis et redevances, revenus des entreprises du gouvernement, transferts fédéraux, revenus divers.)</t>
  </si>
  <si>
    <t>Engagements affectant les dépenses de fonctionnement (ex.: programme gouvernemental, rémunération, subvention.)</t>
  </si>
  <si>
    <t>Engagement affectant les dépenses d'infrastructures pour les organismes subventionnés (ex.: infrastructures municipales, universités à charte ou privées, centre sde la petite enfance.)</t>
  </si>
  <si>
    <t xml:space="preserve">Engagement affectant les dépenses d'infrastructures pour les organismes publics (ex.: ministères, organismes du gouvernement, centres de services scolaires, Université du Québec, cégeps, hôpitaux.) </t>
  </si>
  <si>
    <t>Moins : Versements des revenus consacrés
au Fonds des générations</t>
  </si>
  <si>
    <t>Note : Les actifs de la dette brute varient aussi avec les actifs financiers et les placements, prêts et avances. Pour ce simulateur, ces variations ont été ignorées. Cela explique que la variation de la dette nette et celle de la dette brute sont les mêmes.</t>
  </si>
  <si>
    <t>Écart entre le montant des révisions de l'onglet « 6-Simulation » et celui 
« 8-RevisionsCF_RPE »</t>
  </si>
  <si>
    <t>Rapport préélectoral sur l’état des finances 
publiques du Québec – Août 2026</t>
  </si>
  <si>
    <r>
      <t>SURPLUS (DÉFICIT) COMPTABLE – AVANT ÉCART À RÉSORBER</t>
    </r>
    <r>
      <rPr>
        <b/>
        <vertAlign val="superscript"/>
        <sz val="10"/>
        <color theme="3" tint="-0.499984740745262"/>
        <rFont val="Century Gothic"/>
        <family val="2"/>
      </rPr>
      <t>(4)</t>
    </r>
  </si>
  <si>
    <t>(1) Voyez ici les impacts de vos engagements sur le cadre financier.
(2) Il s'agit de la différence du taux de croissance annuel moyen entre votre simulation et le rapport préélectoral. Ce taux de croissance annuel moyen correspond à la moyenne géométrique sur cinq ans, soit de 2026-2027 à 2030-2031.
(3) Le surplus (déficit) comptable avant écart à résorber correspond au surplus (déficit) comptable présenté dans les documents budgétaires.</t>
  </si>
  <si>
    <t>Puisque le déficit budgétaire au sens de la Loi, tel qu’établi à partir des Comptes publics 2022-2023 déposés le 11 décembre 2023, était de 6,1 milliards de dollars et qu’il était supérieur aux revenus consacrés au Fonds des générations, qui s’élevaient à 3,1 milliards de dollars, le gouvernement a déposé, dans le cadre du budget 2025-2026, un plan de retour à l’équilibre budgétaire respectant les objectifs suivants :
Le plan respecte les caractéristiques prévues par la Loi, soit :
– une durée maximale de cinq ans, c’est-à-dire un retour à l’équilibre budgétaire d’ici 2029-2030;
– des déficits décroissants sur l’horizon du cadre financier;
– un déficit maximal de 1,5 milliard de dollars en 2028-2029, correspondant à 25 % du déficit budgétaire de 6,1 milliards de dollars constaté dans les Comptes publics 2022-2023.
Des validations ont été intégrées au simulateur des finances publiques afin d'avertir l'utilisateur quand le plan de retour à l'équilibre budgétaire n'est pas respecté.</t>
  </si>
  <si>
    <t>Le parc des organismes publics regroupe principalement les infrastructures des ministères, des organismes, des fonds spéciaux, des centres de services scolaires, des cégeps, de l'Université du Québec et, des établissements du réseau de la santé et des services sociaux, les routes, les ponts, les tunnels ...
Une liste des organismes publics est disponible à l'annexe 4 du rapport préélectoral 2026, à titre de référence.</t>
  </si>
  <si>
    <t xml:space="preserve">Le cadre financier présente les informations selon les mêmes méthodes comptables que les états financiers consolidés inclus dans les comptes publics.
Ainsi, seuls les investissements dans les infrastructures des organismes subventionnés ont un impact direct au cadre financier, et cet impact suit le rythme d'avancement des travaux. 
Les investissements dans les infrastructures des organismes publics ont plutôt un impact financier amorti sur un horizon de 25 ans. </t>
  </si>
  <si>
    <t>(1) Voyez ici le cadre financier incluant vos engagements.
(2) Il s'agit du taux de croissance annuel moyen, qui correspond à la moyenne géométrique sur cinq ans, soit de 2026-2027 à 2030-2031.
(3) La gestion des dépenses permet au gouvernement de disposer des marges de manœuvre requises pour investir dans les secteurs prioritaires. 
(4) Le surplus (déficit) comptable avant écart à résorber correspond au surplus (déficit) comptable présenté dans les documents budgétaires.</t>
  </si>
  <si>
    <t>Note : Les données pour  2025-2026 sont tirées des comptes publics, et celles pour les années suivantes sont des prévisions.
Les chiffres ayant été arrondis, leur somme peut ne pas correspondre au total indiqué.
(1) Il s'agit du taux de croissance annuel moyen, qui correspond à la moyenne géométrique sur cinq ans, soit de 2026-2027 à 2030-2031.
(2) La gestion des dépenses permet au gouvernement de disposer des marges de manœuvre requises pour investir dans les secteurs prioritaires. En assurant un suivi rigoureux des enveloppes budgétaires allouées aux ministères et organismes, le gouvernement favorise le respect des objectifs fixés et permet de dégager des disponibilités budgétaires de l’ordre de 1 % des dépenses de programmes, disponibilités qui sont réallouées en cours d’exercice financier. Sur la base des réinvestissements constatés des dernières années, le rapport préélectoral de 2026 prévoit une réallocation des dépenses gouvernementales de 600 M$ pour chaque année. Ces réallocations correspondent en partie à la marge de manœuvre prévue pour ces exercices et contribuent à maintenir le niveau de services aux citoyens.
(3) La croissance de 2028-2029 et de 2029-2030 est affectée par l’effet de la stabilisation des investissements pour des infrastructures appartenant à des tiers et les gestes découlant de l’examen de dépenses. En excluant ces éléments, la croissance serait respectivement de 2,2 % et de 2,0 %.
(4) Le surplus (déficit) comptable avant écart à résorber correspond au surplus (déficit) comptable présenté dans les documents budgétaires. En conformité avec les exigences de présentation des normes comptables pour le secteur public appliquées lors de la préparation des comptes publics, une illustration du surplus (déficit) comptable lorsque les écarts seront résorbés est disponible à la section 3.1 du rapport préélectoral 2026. Par exemple, en 2028-2029, lorsque l’écart sera résorbé, le surplus comptable s’élèvera à 1 126 M$.</t>
  </si>
  <si>
    <t xml:space="preserve"> DEUXIÈME ÉTAPE – SÉLECTIONNEZ LE POSTE BUDGÉTAIRE CONCERNÉ</t>
  </si>
  <si>
    <t>Note : Tous les montants de ce tableau devraient être à zéro pour avoir une simulation valide. Des cellules rouges signifient que des montants n'ont pas de postes budgétaires identifiés ou que les révisions de l'onglet  « 6-Simulation » ne correspondent pas à celles de l'onglet « 8-RevisionsCF_RPE ».</t>
  </si>
  <si>
    <r>
      <t xml:space="preserve">Résultats de simulation comparés au cadre financier du rapport préélectoral 2026 </t>
    </r>
    <r>
      <rPr>
        <b/>
        <sz val="11"/>
        <color theme="3" tint="-0.249977111117893"/>
        <rFont val="Calibri"/>
        <family val="2"/>
      </rPr>
      <t>–</t>
    </r>
    <r>
      <rPr>
        <b/>
        <sz val="11"/>
        <color theme="3" tint="-0.249977111117893"/>
        <rFont val="Century Gothic"/>
        <family val="2"/>
      </rPr>
      <t xml:space="preserve"> 2025-2026 à 2030-2031</t>
    </r>
    <r>
      <rPr>
        <b/>
        <vertAlign val="superscript"/>
        <sz val="11"/>
        <color theme="3" tint="-0.249977111117893"/>
        <rFont val="Century Gothic"/>
        <family val="2"/>
      </rPr>
      <t>(1)</t>
    </r>
  </si>
  <si>
    <t>VARAIATION DES REVENUS</t>
  </si>
  <si>
    <t>VARIATION DES DÉPENSES</t>
  </si>
  <si>
    <r>
      <t>VARIATION DU SURPLUS (DÉFICIT) COMPTABLE – AVANT ÉCART À RÉSORBER</t>
    </r>
    <r>
      <rPr>
        <b/>
        <vertAlign val="superscript"/>
        <sz val="10"/>
        <color theme="3" tint="-0.499984740745262"/>
        <rFont val="Century Gothic"/>
        <family val="2"/>
      </rPr>
      <t>(3)</t>
    </r>
  </si>
  <si>
    <t>VARIATION DU SOLDE BUDGÉTAIRE</t>
  </si>
  <si>
    <t>Variation de la provision pour éventualités</t>
  </si>
  <si>
    <t>Variation de l'écart à résorber</t>
  </si>
  <si>
    <t>Variation des versements des revenus consacrés au Fonds des générations</t>
  </si>
  <si>
    <t xml:space="preserve">  Variation du %</t>
  </si>
  <si>
    <t>Les résultats d’une analyse effectuée à l’aide d’un modèle à vecteur autorégressif  structurel à partir des données historiques montrent qu’une variation de 1 % du PIB réel américain entraîne, en moyenne, une variation de 0,45 % du PIB réel du Québec.
— L’effet maximal se fait sentir avec un délai de deux trimestres.
Par ailleurs, selon ce modèle, une variation de 1 % du PIB réel de l’Ontario donne lieu, en moyenne, à une variation de 0,42 % du PIB réel du Québec.
— L’effet maximal se produit après un délai d’un trimestre.
L’Ontario est la province canadienne avec laquelle le Québec entretient le plus de liens commerciaux. De plus, la structure économique des deux provinces est semblable.
En 2022, les exportations vers l’Ontario représentaient plus de 58,9 % des exportations interprovinciales du Québec. Par ailleurs, les effets mesurés pour l’Ontario et les États-Unis ne sont pas additifs.</t>
  </si>
  <si>
    <t>(1) La maturité correspond au nombre de trimestres nécessaires avant que l’effet le plus important sur le PIB réel du Québec, présenté dans la colonne de droite, soit enregistré.
Sources : Institut de la statistique du Québec, Statistique Canada, ministère des Finances de l’Ontario,  S&amp;P Global, Bloomberg et ministère des Finances du Québec.</t>
  </si>
  <si>
    <t>Cette feuille vous permet de saisir vos engagements dans le simulateur des finances publiques pour les années 2026-2027 à 2030-2031.</t>
  </si>
  <si>
    <t>-- Choisir --</t>
  </si>
  <si>
    <t>-- Choisir un secteur d'activité dans la colonne B --</t>
  </si>
  <si>
    <t>Perspectives économiques au Québec de 2024 à 2030</t>
  </si>
  <si>
    <t>Calculs de l'amortissement du PQI des organismes publics</t>
  </si>
  <si>
    <r>
      <rPr>
        <sz val="8"/>
        <color rgb="FF1A6372"/>
        <rFont val="Century Gothic"/>
        <family val="2"/>
      </rPr>
      <t>(11) Pour afficher les impacts dans le cadre simulé, choisissez dans les listes déroulantes le poste budgétaire concerné par chacun de vos engagements. Pour les engagements PQI, choisissez le secteur en-dessous du nom de la mesure.
(12) Utilisez cet espace pour en dire davantage sur la forme concrète que prendra votre engagement. Voici quelques pistes de réflexion :</t>
    </r>
    <r>
      <rPr>
        <sz val="8"/>
        <color rgb="FF3A4323"/>
        <rFont val="Century Gothic"/>
        <family val="2"/>
      </rPr>
      <t xml:space="preserve">
a) Pour une modification des revenus :
     </t>
    </r>
    <r>
      <rPr>
        <sz val="8"/>
        <color rgb="FF3A4323"/>
        <rFont val="Calibri"/>
        <family val="2"/>
      </rPr>
      <t>–</t>
    </r>
    <r>
      <rPr>
        <sz val="8"/>
        <color rgb="FF3A4323"/>
        <rFont val="Century Gothic"/>
        <family val="2"/>
      </rPr>
      <t xml:space="preserve">  Qui dans la société en assumera le coût ou en bénéficiera? 
         (critères d'admissibilité par exemple) 
     –  Quels paramètres permettront aux citoyens ou entreprises d'évaluer les impacts sur eux?
         (taux d'imposition ou tarifs par exemple)</t>
    </r>
    <r>
      <rPr>
        <sz val="8"/>
        <color theme="3" tint="-0.249977111117893"/>
        <rFont val="Century Gothic"/>
        <family val="2"/>
      </rPr>
      <t xml:space="preserve">
</t>
    </r>
    <r>
      <rPr>
        <sz val="8"/>
        <color rgb="FF660033"/>
        <rFont val="Century Gothic"/>
        <family val="2"/>
      </rPr>
      <t>b)</t>
    </r>
    <r>
      <rPr>
        <sz val="8"/>
        <color theme="3" tint="-0.249977111117893"/>
        <rFont val="Century Gothic"/>
        <family val="2"/>
      </rPr>
      <t xml:space="preserve"> </t>
    </r>
    <r>
      <rPr>
        <sz val="8"/>
        <color rgb="FF660033"/>
        <rFont val="Century Gothic"/>
        <family val="2"/>
      </rPr>
      <t>Pour une modification des dépenses : 
     –  Prévoyez-vous bonifier des services, dégager des gains d'efficacité ou réduire les services?
     –  Comment allez-vous concrétiser cela?</t>
    </r>
  </si>
  <si>
    <r>
      <t xml:space="preserve">Engagements du Plan Québécois des infrastructures (PQI) pour les organismes publics </t>
    </r>
    <r>
      <rPr>
        <b/>
        <vertAlign val="superscript"/>
        <sz val="9"/>
        <color rgb="FF660033"/>
        <rFont val="Century Gothic"/>
        <family val="2"/>
      </rPr>
      <t>(3),(4),(5)</t>
    </r>
  </si>
  <si>
    <r>
      <t xml:space="preserve">Note : Dans ce tableau, vous pouvez nommer et chiffrer vos engagements.
</t>
    </r>
    <r>
      <rPr>
        <sz val="8"/>
        <color rgb="FF3A4323"/>
        <rFont val="Century Gothic"/>
        <family val="2"/>
      </rPr>
      <t xml:space="preserve">(1) Une hausse des revenus est indiquée par un montant positif et une diminution, par un montant négatif. </t>
    </r>
    <r>
      <rPr>
        <sz val="8"/>
        <color theme="3" tint="-0.249977111117893"/>
        <rFont val="Century Gothic"/>
        <family val="2"/>
      </rPr>
      <t xml:space="preserve">
</t>
    </r>
    <r>
      <rPr>
        <sz val="8"/>
        <color rgb="FF660033"/>
        <rFont val="Century Gothic"/>
        <family val="2"/>
      </rPr>
      <t xml:space="preserve">(2) Une hausse des dépenses est indiquée par un montant négatif et une diminution, par un montant positif.
(3) Une hausse des investissements est indiquée par un montant négatif et une diminution, par un montant positif.
(4) La définition d'un organisme public est énoncée dans l'onglet « 3-PQI ».
(5) Inscrire ici le montant de l'investissement. L'impact au cadre financier sera calculé par le simulateur.
(6) La définition d'un organisme subventionné est énoncée dans l'onglet  « 3-PQI ».
</t>
    </r>
    <r>
      <rPr>
        <sz val="8"/>
        <color theme="3" tint="-0.249977111117893"/>
        <rFont val="Century Gothic"/>
        <family val="2"/>
      </rPr>
      <t>(7) Une hausse de la provision est indiquée par un montant négatif et une diminution, par un montant positif.
(8) Une hausse de l'écart à résorber est indiquée par un montant positiff et une diminution, par un montant négatif.
(9) Cet ajustement permet de hausser ou de diminuer les revenus qui sont consacrés au Fonds des générations :
      a) Pour consacrer un revenu déjà existant au cadre financier (ex : toute la taxe spécifique sur les boissons alcooliques), il faut inscrire un
           montant négatif, ce qui aura pour effet de verser ces revenus au Fonds des générations.
      b) Pour consacrer au Fonds des générations un nouveau revenu qui n'est pas déjà prévu (ex : nouvelle taxe spécifique), l’utilisateur doit   
           d’abord ajouter cette hausse en positif à la section « Engagements affectant les revenus » et ensuite la verser au Fonds des générations en    
           ajoutant cette même hausse en négatif à la ligne « Versements des revenus consacrés au Fonds des générations ».
(10) À l'exception des effets sur le service de la dette, les effets induits, comme l'impact d'une variation des revenus du Fonds des générations sur les 
      revenus de placement dudit fonds, ne sont pas considérés dans la présente simulation. Si l'utilisateur désire en tenir compte, il doit les ajouter.</t>
    </r>
  </si>
  <si>
    <r>
      <t>Poste budgétaire concerné</t>
    </r>
    <r>
      <rPr>
        <b/>
        <vertAlign val="superscript"/>
        <sz val="9"/>
        <color rgb="FF1A6372"/>
        <rFont val="Century Gothic"/>
        <family val="2"/>
      </rPr>
      <t>(11)</t>
    </r>
  </si>
  <si>
    <r>
      <t>Explications de l'engagement</t>
    </r>
    <r>
      <rPr>
        <b/>
        <vertAlign val="superscript"/>
        <sz val="9"/>
        <color rgb="FF1A6372"/>
        <rFont val="Century Gothic"/>
        <family val="2"/>
      </rPr>
      <t>(12)</t>
    </r>
  </si>
  <si>
    <r>
      <t>Engagements du Plan Québécois des infrastructures (PQI) pour les organismes subventionnés</t>
    </r>
    <r>
      <rPr>
        <b/>
        <vertAlign val="superscript"/>
        <sz val="9"/>
        <color rgb="FF660033"/>
        <rFont val="Century Gothic"/>
        <family val="2"/>
      </rPr>
      <t>(3),(6)</t>
    </r>
  </si>
  <si>
    <r>
      <t>–   Provision pour éventualités</t>
    </r>
    <r>
      <rPr>
        <vertAlign val="superscript"/>
        <sz val="8.5"/>
        <color theme="3" tint="-0.249977111117893"/>
        <rFont val="Century Gothic"/>
        <family val="2"/>
      </rPr>
      <t>(7)</t>
    </r>
  </si>
  <si>
    <r>
      <t>–   Écart à résorber</t>
    </r>
    <r>
      <rPr>
        <vertAlign val="superscript"/>
        <sz val="8.5"/>
        <color theme="3" tint="-0.249977111117893"/>
        <rFont val="Century Gothic"/>
        <family val="2"/>
      </rPr>
      <t>(8)</t>
    </r>
  </si>
  <si>
    <r>
      <t>–   Versement des revenus consacrés
     au Fonds des générations</t>
    </r>
    <r>
      <rPr>
        <vertAlign val="superscript"/>
        <sz val="8.5"/>
        <color theme="3" tint="-0.249977111117893"/>
        <rFont val="Century Gothic"/>
        <family val="2"/>
      </rPr>
      <t>(9),(10)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</si>
</sst>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7" formatCode="#,##0.00\ &quot;$&quot;_);\(#,##0.00\ &quot;$&quot;\)"/>
    <numFmt numFmtId="42" formatCode="_ * #,##0_)\ &quot;$&quot;_ ;_ * \(#,##0\)\ &quot;$&quot;_ ;_ * &quot;-&quot;_)\ &quot;$&quot;_ ;_ @_ "/>
    <numFmt numFmtId="41" formatCode="_ * #,##0_)_ ;_ * \(#,##0\)_ ;_ * &quot;-&quot;_)_ ;_ @_ "/>
    <numFmt numFmtId="43" formatCode="_ * #,##0.00_)_ ;_ * \(#,##0.00\)_ ;_ * &quot;-&quot;??_)_ ;_ @_ "/>
    <numFmt numFmtId="164" formatCode="0.0"/>
    <numFmt numFmtId="165" formatCode="#,##0.0"/>
    <numFmt numFmtId="166" formatCode="#,##0;\–#,##0"/>
    <numFmt numFmtId="167" formatCode="[=0]\—;\–#,##0.0;#,##0.0"/>
    <numFmt numFmtId="168" formatCode="[=0]\—;\–#,##0;#,##0"/>
    <numFmt numFmtId="169" formatCode="_(* #,##0_);_(* \(#,##0\);_(* &quot;-&quot;_);_(@_)"/>
    <numFmt numFmtId="170" formatCode="&quot;$&quot;#,##0.00_);\(&quot;$&quot;#,##0.00\)"/>
    <numFmt numFmtId="171" formatCode="_(&quot;$&quot;* #,##0_);_(&quot;$&quot;* \(#,##0\);_(&quot;$&quot;* &quot;-&quot;_);_(@_)"/>
    <numFmt numFmtId="172" formatCode="&quot;\&quot;#,##0.00;&quot;\&quot;&quot;\&quot;&quot;\&quot;&quot;\&quot;\-#,##0.00"/>
    <numFmt numFmtId="173" formatCode="_(* #,##0.00_);_(* \(#,##0.00\);_(* &quot;-&quot;??_);_(@_)"/>
    <numFmt numFmtId="174" formatCode="_-* #,##0.00\ [$€]_-;\-* #,##0.00\ [$€]_-;_-* &quot;-&quot;??\ [$€]_-;_-@_-"/>
    <numFmt numFmtId="175" formatCode="#,##0.0;\–#,##0.0"/>
    <numFmt numFmtId="176" formatCode="[=0]\—;\–#,##0.000000000000000000000000000;#,##0.000000000000000000000000000"/>
    <numFmt numFmtId="177" formatCode="0.0%"/>
    <numFmt numFmtId="178" formatCode="[=0]\—;\–#,##0.00;#,##0.00"/>
    <numFmt numFmtId="179" formatCode="0.0000000000"/>
    <numFmt numFmtId="180" formatCode="0.0000000000000000000000000"/>
    <numFmt numFmtId="181" formatCode="[=0]\—;\–#,##0.0000;#,##0.0000"/>
  </numFmts>
  <fonts count="135">
    <font>
      <sz val="10"/>
      <color theme="1"/>
      <name val="Arial"/>
      <family val="2"/>
    </font>
    <font>
      <sz val="11"/>
      <color theme="1"/>
      <name val="Calibri"/>
      <family val="2"/>
      <scheme val="minor"/>
    </font>
    <font>
      <sz val="11"/>
      <color theme="1"/>
      <name val="Calibri"/>
      <family val="2"/>
      <scheme val="minor"/>
    </font>
    <font>
      <sz val="10"/>
      <name val="Arial"/>
      <family val="2"/>
    </font>
    <font>
      <u/>
      <sz val="12"/>
      <color indexed="20"/>
      <name val="Arial"/>
      <family val="2"/>
    </font>
    <font>
      <u/>
      <sz val="12"/>
      <color indexed="12"/>
      <name val="Arial"/>
      <family val="2"/>
    </font>
    <font>
      <sz val="12"/>
      <color theme="1"/>
      <name val="Calibri"/>
      <family val="2"/>
      <scheme val="minor"/>
    </font>
    <font>
      <sz val="10"/>
      <name val="Stone Sans"/>
      <family val="2"/>
    </font>
    <font>
      <sz val="11"/>
      <color indexed="62"/>
      <name val="Calibri"/>
      <family val="2"/>
      <charset val="204"/>
    </font>
    <font>
      <sz val="9"/>
      <color theme="4" tint="-0.249977111117893"/>
      <name val="Century Gothic"/>
      <family val="2"/>
    </font>
    <font>
      <sz val="10"/>
      <color theme="4" tint="-0.249977111117893"/>
      <name val="Century Gothic"/>
      <family val="2"/>
    </font>
    <font>
      <sz val="8"/>
      <color theme="4" tint="-0.249977111117893"/>
      <name val="Century Gothic"/>
      <family val="2"/>
    </font>
    <font>
      <b/>
      <sz val="8"/>
      <color theme="4" tint="-0.249977111117893"/>
      <name val="Century Gothic"/>
      <family val="2"/>
    </font>
    <font>
      <i/>
      <sz val="8"/>
      <color theme="4" tint="-0.249977111117893"/>
      <name val="Century Gothic"/>
      <family val="2"/>
    </font>
    <font>
      <b/>
      <i/>
      <sz val="8"/>
      <color theme="4" tint="-0.249977111117893"/>
      <name val="Century Gothic"/>
      <family val="2"/>
    </font>
    <font>
      <b/>
      <i/>
      <sz val="11"/>
      <color theme="4" tint="-0.249977111117893"/>
      <name val="Century Gothic"/>
      <family val="2"/>
    </font>
    <font>
      <i/>
      <sz val="11"/>
      <color theme="4" tint="-0.249977111117893"/>
      <name val="Century Gothic"/>
      <family val="2"/>
    </font>
    <font>
      <sz val="7"/>
      <color theme="4" tint="-0.249977111117893"/>
      <name val="Century Gothic"/>
      <family val="2"/>
    </font>
    <font>
      <sz val="11"/>
      <color theme="4" tint="-0.249977111117893"/>
      <name val="Century Gothic"/>
      <family val="2"/>
    </font>
    <font>
      <b/>
      <sz val="11"/>
      <color theme="4" tint="-0.499984740745262"/>
      <name val="Century Gothic"/>
      <family val="2"/>
    </font>
    <font>
      <sz val="11"/>
      <color theme="4" tint="-0.499984740745262"/>
      <name val="Century Gothic"/>
      <family val="2"/>
    </font>
    <font>
      <b/>
      <sz val="8"/>
      <color theme="4" tint="-0.499984740745262"/>
      <name val="Century Gothic"/>
      <family val="2"/>
    </font>
    <font>
      <sz val="9"/>
      <color theme="1"/>
      <name val="Century Gothic"/>
      <family val="2"/>
    </font>
    <font>
      <b/>
      <sz val="8"/>
      <color rgb="FF3A4323"/>
      <name val="Century Gothic"/>
      <family val="2"/>
    </font>
    <font>
      <sz val="8"/>
      <color rgb="FF2D432E"/>
      <name val="Century Gothic"/>
      <family val="2"/>
    </font>
    <font>
      <sz val="10"/>
      <color rgb="FF2D432E"/>
      <name val="Century Gothic"/>
      <family val="2"/>
    </font>
    <font>
      <b/>
      <sz val="11"/>
      <color theme="1"/>
      <name val="Century Gothic"/>
      <family val="2"/>
    </font>
    <font>
      <b/>
      <sz val="16"/>
      <color theme="0"/>
      <name val="Century Gothic"/>
      <family val="2"/>
    </font>
    <font>
      <sz val="10"/>
      <color rgb="FF660033"/>
      <name val="Century Gothic"/>
      <family val="2"/>
    </font>
    <font>
      <sz val="8"/>
      <color rgb="FF660033"/>
      <name val="Century Gothic"/>
      <family val="2"/>
    </font>
    <font>
      <b/>
      <i/>
      <sz val="8"/>
      <color rgb="FF660033"/>
      <name val="Century Gothic"/>
      <family val="2"/>
    </font>
    <font>
      <i/>
      <sz val="8"/>
      <color rgb="FF660033"/>
      <name val="Century Gothic"/>
      <family val="2"/>
    </font>
    <font>
      <sz val="10"/>
      <color theme="3" tint="-0.499984740745262"/>
      <name val="Century Gothic"/>
      <family val="2"/>
    </font>
    <font>
      <b/>
      <sz val="11"/>
      <color theme="3" tint="-0.249977111117893"/>
      <name val="Century Gothic"/>
      <family val="2"/>
    </font>
    <font>
      <sz val="11"/>
      <color theme="3" tint="-0.249977111117893"/>
      <name val="Century Gothic"/>
      <family val="2"/>
    </font>
    <font>
      <sz val="9"/>
      <color theme="3" tint="-0.249977111117893"/>
      <name val="Century Gothic"/>
      <family val="2"/>
    </font>
    <font>
      <sz val="10"/>
      <color theme="3" tint="-0.249977111117893"/>
      <name val="Century Gothic"/>
      <family val="2"/>
    </font>
    <font>
      <b/>
      <sz val="8"/>
      <color theme="3" tint="-0.249977111117893"/>
      <name val="Century Gothic"/>
      <family val="2"/>
    </font>
    <font>
      <sz val="8"/>
      <color theme="3" tint="-0.249977111117893"/>
      <name val="Century Gothic"/>
      <family val="2"/>
    </font>
    <font>
      <b/>
      <sz val="10"/>
      <color theme="3" tint="-0.249977111117893"/>
      <name val="Century Gothic"/>
      <family val="2"/>
    </font>
    <font>
      <sz val="10"/>
      <color rgb="FF3A4323"/>
      <name val="Century Gothic"/>
      <family val="2"/>
    </font>
    <font>
      <sz val="8"/>
      <color rgb="FF3A4323"/>
      <name val="Century Gothic"/>
      <family val="2"/>
    </font>
    <font>
      <i/>
      <sz val="8"/>
      <color rgb="FF3A4323"/>
      <name val="Century Gothic"/>
      <family val="2"/>
    </font>
    <font>
      <b/>
      <i/>
      <sz val="8"/>
      <color rgb="FF3A4323"/>
      <name val="Century Gothic"/>
      <family val="2"/>
    </font>
    <font>
      <b/>
      <sz val="10"/>
      <color theme="4" tint="-0.249977111117893"/>
      <name val="Century Gothic"/>
      <family val="2"/>
    </font>
    <font>
      <b/>
      <sz val="10"/>
      <color theme="1"/>
      <name val="Century Gothic"/>
      <family val="2"/>
    </font>
    <font>
      <i/>
      <sz val="10"/>
      <color theme="4" tint="-0.249977111117893"/>
      <name val="Century Gothic"/>
      <family val="2"/>
    </font>
    <font>
      <sz val="10"/>
      <color rgb="FF000000"/>
      <name val="Century Gothic"/>
      <family val="2"/>
    </font>
    <font>
      <i/>
      <sz val="8"/>
      <color theme="1" tint="0.499984740745262"/>
      <name val="Century Gothic"/>
      <family val="2"/>
    </font>
    <font>
      <b/>
      <sz val="10"/>
      <color theme="3" tint="-0.499984740745262"/>
      <name val="Century Gothic"/>
      <family val="2"/>
    </font>
    <font>
      <b/>
      <vertAlign val="superscript"/>
      <sz val="10"/>
      <color theme="3" tint="-0.499984740745262"/>
      <name val="Century Gothic"/>
      <family val="2"/>
    </font>
    <font>
      <b/>
      <sz val="10"/>
      <color rgb="FF660033"/>
      <name val="Century Gothic"/>
      <family val="2"/>
    </font>
    <font>
      <b/>
      <i/>
      <sz val="10"/>
      <color rgb="FF660033"/>
      <name val="Century Gothic"/>
      <family val="2"/>
    </font>
    <font>
      <b/>
      <sz val="10"/>
      <color rgb="FF3A4323"/>
      <name val="Century Gothic"/>
      <family val="2"/>
    </font>
    <font>
      <b/>
      <sz val="11"/>
      <color rgb="FF00CCFF"/>
      <name val="Century Gothic"/>
      <family val="2"/>
    </font>
    <font>
      <b/>
      <sz val="9"/>
      <color rgb="FF3A4323"/>
      <name val="Century Gothic"/>
      <family val="2"/>
    </font>
    <font>
      <b/>
      <sz val="9"/>
      <color theme="3" tint="-0.249977111117893"/>
      <name val="Century Gothic"/>
      <family val="2"/>
    </font>
    <font>
      <b/>
      <vertAlign val="superscript"/>
      <sz val="11"/>
      <color theme="3" tint="-0.249977111117893"/>
      <name val="Century Gothic"/>
      <family val="2"/>
    </font>
    <font>
      <b/>
      <sz val="9"/>
      <color rgb="FF660033"/>
      <name val="Century Gothic"/>
      <family val="2"/>
    </font>
    <font>
      <b/>
      <vertAlign val="superscript"/>
      <sz val="9"/>
      <color rgb="FF660033"/>
      <name val="Century Gothic"/>
      <family val="2"/>
    </font>
    <font>
      <b/>
      <vertAlign val="superscript"/>
      <sz val="9"/>
      <color rgb="FF3A4323"/>
      <name val="Century Gothic"/>
      <family val="2"/>
    </font>
    <font>
      <sz val="8.5"/>
      <color rgb="FF3A4323"/>
      <name val="Century Gothic"/>
      <family val="2"/>
    </font>
    <font>
      <sz val="8.5"/>
      <color rgb="FF2D432E"/>
      <name val="Century Gothic"/>
      <family val="2"/>
    </font>
    <font>
      <i/>
      <sz val="8.5"/>
      <color rgb="FF2D432E"/>
      <name val="Century Gothic"/>
      <family val="2"/>
    </font>
    <font>
      <b/>
      <sz val="8.5"/>
      <color rgb="FF3A4323"/>
      <name val="Century Gothic"/>
      <family val="2"/>
    </font>
    <font>
      <b/>
      <sz val="8.5"/>
      <color rgb="FF2D432E"/>
      <name val="Century Gothic"/>
      <family val="2"/>
    </font>
    <font>
      <sz val="8.5"/>
      <color rgb="FF660033"/>
      <name val="Century Gothic"/>
      <family val="2"/>
    </font>
    <font>
      <sz val="8.5"/>
      <color theme="4" tint="-0.249977111117893"/>
      <name val="Century Gothic"/>
      <family val="2"/>
    </font>
    <font>
      <b/>
      <sz val="8.5"/>
      <color rgb="FF660033"/>
      <name val="Century Gothic"/>
      <family val="2"/>
    </font>
    <font>
      <sz val="8.5"/>
      <color theme="3" tint="-0.249977111117893"/>
      <name val="Century Gothic"/>
      <family val="2"/>
    </font>
    <font>
      <sz val="8.5"/>
      <color theme="3" tint="-0.249977111117893"/>
      <name val="Arial"/>
      <family val="2"/>
    </font>
    <font>
      <sz val="8.5"/>
      <color theme="3" tint="-0.499984740745262"/>
      <name val="Century Gothic"/>
      <family val="2"/>
    </font>
    <font>
      <b/>
      <sz val="9"/>
      <color rgb="FF1A6372"/>
      <name val="Century Gothic"/>
      <family val="2"/>
    </font>
    <font>
      <b/>
      <vertAlign val="superscript"/>
      <sz val="9"/>
      <color rgb="FF1A6372"/>
      <name val="Century Gothic"/>
      <family val="2"/>
    </font>
    <font>
      <b/>
      <sz val="11"/>
      <color theme="3" tint="-0.249977111117893"/>
      <name val="Calibri"/>
      <family val="2"/>
    </font>
    <font>
      <b/>
      <sz val="10"/>
      <color theme="1"/>
      <name val="Arial"/>
      <family val="2"/>
    </font>
    <font>
      <sz val="8"/>
      <color rgb="FF1A6372"/>
      <name val="Century Gothic"/>
      <family val="2"/>
    </font>
    <font>
      <sz val="7.5"/>
      <color theme="4" tint="-0.249977111117893"/>
      <name val="Century Gothic"/>
      <family val="2"/>
    </font>
    <font>
      <sz val="9"/>
      <color rgb="FF660033"/>
      <name val="Century Gothic"/>
      <family val="2"/>
    </font>
    <font>
      <u/>
      <sz val="10"/>
      <color theme="10"/>
      <name val="Arial"/>
      <family val="2"/>
    </font>
    <font>
      <sz val="10"/>
      <color theme="1"/>
      <name val="Century Gothic"/>
      <family val="2"/>
    </font>
    <font>
      <sz val="12"/>
      <color theme="1"/>
      <name val="Century Gothic"/>
      <family val="2"/>
    </font>
    <font>
      <b/>
      <sz val="12"/>
      <color theme="1"/>
      <name val="Century Gothic"/>
      <family val="2"/>
    </font>
    <font>
      <b/>
      <sz val="10"/>
      <color rgb="FF2D432E"/>
      <name val="Century Gothic"/>
      <family val="2"/>
    </font>
    <font>
      <b/>
      <i/>
      <sz val="8"/>
      <color rgb="FF2D432E"/>
      <name val="Century Gothic"/>
      <family val="2"/>
    </font>
    <font>
      <b/>
      <i/>
      <sz val="10"/>
      <color rgb="FF2D432E"/>
      <name val="Century Gothic"/>
      <family val="2"/>
    </font>
    <font>
      <i/>
      <sz val="8"/>
      <color rgb="FF2D432E"/>
      <name val="Century Gothic"/>
      <family val="2"/>
    </font>
    <font>
      <i/>
      <sz val="11"/>
      <color rgb="FF660033"/>
      <name val="Century Gothic"/>
      <family val="2"/>
    </font>
    <font>
      <i/>
      <sz val="9"/>
      <color theme="4" tint="-0.249977111117893"/>
      <name val="Century Gothic"/>
      <family val="2"/>
    </font>
    <font>
      <b/>
      <i/>
      <sz val="10"/>
      <color theme="3" tint="-0.249977111117893"/>
      <name val="Century Gothic"/>
      <family val="2"/>
    </font>
    <font>
      <b/>
      <sz val="10"/>
      <color rgb="FF16365C"/>
      <name val="Century Gothic"/>
      <family val="2"/>
    </font>
    <font>
      <sz val="10"/>
      <color rgb="FF16365C"/>
      <name val="Century Gothic"/>
      <family val="2"/>
    </font>
    <font>
      <sz val="9"/>
      <color rgb="FF3A4323"/>
      <name val="Century Gothic"/>
      <family val="2"/>
    </font>
    <font>
      <sz val="8"/>
      <color rgb="FF3A4323"/>
      <name val="Calibri"/>
      <family val="2"/>
    </font>
    <font>
      <b/>
      <sz val="11"/>
      <color rgb="FF2D3C2E"/>
      <name val="Century Gothic"/>
      <family val="2"/>
    </font>
    <font>
      <sz val="10"/>
      <color rgb="FF2D3C2E"/>
      <name val="Century Gothic"/>
      <family val="2"/>
    </font>
    <font>
      <b/>
      <sz val="8"/>
      <color rgb="FF2D3C2E"/>
      <name val="Century Gothic"/>
      <family val="2"/>
    </font>
    <font>
      <b/>
      <sz val="10"/>
      <color rgb="FF2D3C2E"/>
      <name val="Century Gothic"/>
      <family val="2"/>
    </font>
    <font>
      <sz val="9"/>
      <color rgb="FF2D3C2E"/>
      <name val="Century Gothic"/>
      <family val="2"/>
    </font>
    <font>
      <sz val="7.5"/>
      <color rgb="FF2D3C2E"/>
      <name val="Century Gothic"/>
      <family val="2"/>
    </font>
    <font>
      <b/>
      <u/>
      <sz val="12"/>
      <color rgb="FF0A7292"/>
      <name val="Century Gothic"/>
      <family val="2"/>
    </font>
    <font>
      <sz val="12"/>
      <color rgb="FF042C38"/>
      <name val="Century Gothic"/>
      <family val="2"/>
    </font>
    <font>
      <b/>
      <sz val="11"/>
      <color theme="0"/>
      <name val="Century Gothic"/>
      <family val="2"/>
    </font>
    <font>
      <sz val="8"/>
      <name val="Arial"/>
      <family val="2"/>
    </font>
    <font>
      <b/>
      <vertAlign val="superscript"/>
      <sz val="8"/>
      <color theme="4" tint="-0.499984740745262"/>
      <name val="Century Gothic"/>
      <family val="2"/>
    </font>
    <font>
      <vertAlign val="superscript"/>
      <sz val="8"/>
      <color rgb="FF660033"/>
      <name val="Century Gothic"/>
      <family val="2"/>
    </font>
    <font>
      <b/>
      <sz val="8"/>
      <color rgb="FF660033"/>
      <name val="Century Gothic"/>
      <family val="2"/>
    </font>
    <font>
      <i/>
      <sz val="11"/>
      <color rgb="FF2D432E"/>
      <name val="Century Gothic"/>
      <family val="2"/>
    </font>
    <font>
      <vertAlign val="superscript"/>
      <sz val="8.5"/>
      <color theme="3" tint="-0.249977111117893"/>
      <name val="Century Gothic"/>
      <family val="2"/>
    </font>
    <font>
      <b/>
      <sz val="8.5"/>
      <color theme="3" tint="-0.499984740745262"/>
      <name val="Century Gothic"/>
      <family val="2"/>
    </font>
    <font>
      <b/>
      <i/>
      <sz val="9"/>
      <color theme="3" tint="-0.249977111117893"/>
      <name val="Century Gothic"/>
      <family val="2"/>
    </font>
    <font>
      <i/>
      <sz val="9"/>
      <color theme="3" tint="-0.249977111117893"/>
      <name val="Century Gothic"/>
      <family val="2"/>
    </font>
    <font>
      <sz val="8.5"/>
      <color rgb="FFFF0000"/>
      <name val="Arial"/>
      <family val="2"/>
    </font>
    <font>
      <b/>
      <sz val="9"/>
      <color rgb="FFFF0000"/>
      <name val="Century Gothic"/>
      <family val="2"/>
    </font>
    <font>
      <b/>
      <sz val="14"/>
      <color theme="1"/>
      <name val="Century Gothic"/>
      <family val="2"/>
    </font>
    <font>
      <sz val="12"/>
      <color rgb="FFFF0000"/>
      <name val="Century Gothic"/>
      <family val="2"/>
    </font>
    <font>
      <b/>
      <i/>
      <sz val="10"/>
      <color theme="3" tint="-0.499984740745262"/>
      <name val="Century Gothic"/>
      <family val="2"/>
    </font>
    <font>
      <b/>
      <i/>
      <sz val="10"/>
      <color rgb="FF16365C"/>
      <name val="Century Gothic"/>
      <family val="2"/>
    </font>
    <font>
      <b/>
      <sz val="11"/>
      <color rgb="FF1A6372"/>
      <name val="Century Gothic"/>
      <family val="2"/>
    </font>
    <font>
      <b/>
      <sz val="9"/>
      <color theme="4" tint="-0.249977111117893"/>
      <name val="Century Gothic"/>
      <family val="2"/>
    </font>
    <font>
      <b/>
      <sz val="11"/>
      <color rgb="FF3F3F3F"/>
      <name val="Calibri"/>
      <family val="2"/>
      <scheme val="minor"/>
    </font>
    <font>
      <i/>
      <sz val="11"/>
      <color rgb="FF3F3F3F"/>
      <name val="Calibri"/>
      <family val="2"/>
      <scheme val="minor"/>
    </font>
    <font>
      <sz val="8.5"/>
      <color rgb="FF3F3F3F"/>
      <name val="Century Gothic"/>
      <family val="2"/>
    </font>
    <font>
      <i/>
      <sz val="8.5"/>
      <color rgb="FF3F3F3F"/>
      <name val="Calibri"/>
      <family val="2"/>
      <scheme val="minor"/>
    </font>
    <font>
      <b/>
      <i/>
      <vertAlign val="superscript"/>
      <sz val="8"/>
      <color rgb="FF660033"/>
      <name val="Century Gothic"/>
      <family val="2"/>
    </font>
    <font>
      <vertAlign val="superscript"/>
      <sz val="9"/>
      <color theme="3" tint="-0.249977111117893"/>
      <name val="Century Gothic"/>
      <family val="2"/>
    </font>
    <font>
      <b/>
      <vertAlign val="superscript"/>
      <sz val="9"/>
      <color theme="3" tint="-0.249977111117893"/>
      <name val="Century Gothic"/>
      <family val="2"/>
    </font>
    <font>
      <sz val="9"/>
      <color indexed="81"/>
      <name val="Tahoma"/>
      <family val="2"/>
    </font>
    <font>
      <b/>
      <u/>
      <sz val="12"/>
      <color theme="10"/>
      <name val="Century Gothic"/>
      <family val="2"/>
    </font>
    <font>
      <b/>
      <sz val="18"/>
      <color theme="1"/>
      <name val="Century Gothic"/>
      <family val="2"/>
    </font>
    <font>
      <sz val="9"/>
      <color rgb="FF16365C"/>
      <name val="Cambria"/>
      <family val="1"/>
    </font>
    <font>
      <sz val="8.5"/>
      <color rgb="FF16365C"/>
      <name val="Cambria"/>
      <family val="1"/>
    </font>
    <font>
      <sz val="14"/>
      <color theme="4" tint="-0.249977111117893"/>
      <name val="Century Gothic"/>
      <family val="2"/>
    </font>
    <font>
      <sz val="10"/>
      <color rgb="FF042C38"/>
      <name val="Century Gothic"/>
      <family val="2"/>
    </font>
    <font>
      <b/>
      <sz val="16"/>
      <color rgb="FFFFFFFF"/>
      <name val="Century Gothic"/>
      <family val="2"/>
    </font>
  </fonts>
  <fills count="18">
    <fill>
      <patternFill patternType="none"/>
    </fill>
    <fill>
      <patternFill patternType="gray125"/>
    </fill>
    <fill>
      <patternFill patternType="solid">
        <fgColor theme="0"/>
        <bgColor indexed="64"/>
      </patternFill>
    </fill>
    <fill>
      <patternFill patternType="solid">
        <fgColor indexed="47"/>
      </patternFill>
    </fill>
    <fill>
      <patternFill patternType="solid">
        <fgColor rgb="FFD7E1ED"/>
        <bgColor indexed="64"/>
      </patternFill>
    </fill>
    <fill>
      <patternFill patternType="solid">
        <fgColor rgb="FF5F5A5A"/>
        <bgColor indexed="64"/>
      </patternFill>
    </fill>
    <fill>
      <patternFill patternType="solid">
        <fgColor rgb="FFEEF2F0"/>
        <bgColor indexed="64"/>
      </patternFill>
    </fill>
    <fill>
      <patternFill patternType="solid">
        <fgColor rgb="FFF1EDF3"/>
        <bgColor indexed="64"/>
      </patternFill>
    </fill>
    <fill>
      <patternFill patternType="solid">
        <fgColor rgb="FF00718C"/>
        <bgColor indexed="64"/>
      </patternFill>
    </fill>
    <fill>
      <patternFill patternType="solid">
        <fgColor rgb="FFEEF2EF"/>
        <bgColor indexed="64"/>
      </patternFill>
    </fill>
    <fill>
      <patternFill patternType="solid">
        <fgColor rgb="FFF1EEEF"/>
        <bgColor indexed="64"/>
      </patternFill>
    </fill>
    <fill>
      <patternFill patternType="solid">
        <fgColor rgb="FFEBF2EC"/>
        <bgColor indexed="64"/>
      </patternFill>
    </fill>
    <fill>
      <patternFill patternType="solid">
        <fgColor rgb="FFCCD8C6"/>
        <bgColor indexed="64"/>
      </patternFill>
    </fill>
    <fill>
      <patternFill patternType="solid">
        <fgColor rgb="FFF1F5F9"/>
        <bgColor indexed="64"/>
      </patternFill>
    </fill>
    <fill>
      <patternFill patternType="solid">
        <fgColor rgb="FFF2F2F2"/>
      </patternFill>
    </fill>
    <fill>
      <patternFill patternType="solid">
        <fgColor rgb="FFBDE3F2"/>
        <bgColor indexed="64"/>
      </patternFill>
    </fill>
    <fill>
      <patternFill patternType="solid">
        <fgColor rgb="FF095797"/>
        <bgColor indexed="64"/>
      </patternFill>
    </fill>
    <fill>
      <patternFill patternType="solid">
        <fgColor rgb="FF225094"/>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right/>
      <top/>
      <bottom style="medium">
        <color theme="4" tint="-0.24994659260841701"/>
      </bottom>
      <diagonal/>
    </border>
    <border>
      <left/>
      <right/>
      <top style="medium">
        <color theme="4" tint="-0.24994659260841701"/>
      </top>
      <bottom/>
      <diagonal/>
    </border>
    <border>
      <left/>
      <right/>
      <top style="medium">
        <color rgb="FF3A4323"/>
      </top>
      <bottom/>
      <diagonal/>
    </border>
    <border>
      <left/>
      <right style="thin">
        <color theme="4" tint="-0.24994659260841701"/>
      </right>
      <top style="thin">
        <color theme="4" tint="-0.24994659260841701"/>
      </top>
      <bottom style="thin">
        <color theme="4" tint="-0.24994659260841701"/>
      </bottom>
      <diagonal/>
    </border>
    <border>
      <left/>
      <right/>
      <top style="thin">
        <color theme="4" tint="-0.24994659260841701"/>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right/>
      <top style="thin">
        <color rgb="FF660033"/>
      </top>
      <bottom/>
      <diagonal/>
    </border>
    <border>
      <left/>
      <right/>
      <top/>
      <bottom style="thin">
        <color rgb="FF3A4323"/>
      </bottom>
      <diagonal/>
    </border>
    <border>
      <left/>
      <right/>
      <top/>
      <bottom style="medium">
        <color theme="3" tint="-0.499984740745262"/>
      </bottom>
      <diagonal/>
    </border>
    <border>
      <left/>
      <right/>
      <top style="medium">
        <color theme="3" tint="-0.499984740745262"/>
      </top>
      <bottom/>
      <diagonal/>
    </border>
    <border>
      <left style="thin">
        <color indexed="64"/>
      </left>
      <right style="thin">
        <color indexed="64"/>
      </right>
      <top style="thin">
        <color indexed="64"/>
      </top>
      <bottom style="thin">
        <color indexed="64"/>
      </bottom>
      <diagonal/>
    </border>
    <border>
      <left style="thin">
        <color theme="1" tint="0.34998626667073579"/>
      </left>
      <right/>
      <top style="thin">
        <color theme="1" tint="0.34998626667073579"/>
      </top>
      <bottom/>
      <diagonal/>
    </border>
    <border>
      <left/>
      <right/>
      <top style="thin">
        <color rgb="FF324010"/>
      </top>
      <bottom/>
      <diagonal/>
    </border>
    <border>
      <left/>
      <right/>
      <top/>
      <bottom style="thin">
        <color rgb="FF324010"/>
      </bottom>
      <diagonal/>
    </border>
    <border>
      <left/>
      <right/>
      <top style="thin">
        <color rgb="FF401028"/>
      </top>
      <bottom/>
      <diagonal/>
    </border>
    <border>
      <left/>
      <right/>
      <top/>
      <bottom style="thin">
        <color rgb="FF401028"/>
      </bottom>
      <diagonal/>
    </border>
    <border>
      <left/>
      <right/>
      <top style="thin">
        <color theme="4" tint="-0.499984740745262"/>
      </top>
      <bottom/>
      <diagonal/>
    </border>
    <border>
      <left/>
      <right/>
      <top style="thin">
        <color rgb="FF3A4323"/>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thin">
        <color theme="4" tint="-0.24994659260841701"/>
      </bottom>
      <diagonal/>
    </border>
    <border>
      <left/>
      <right/>
      <top style="thin">
        <color theme="4" tint="-0.24994659260841701"/>
      </top>
      <bottom/>
      <diagonal/>
    </border>
    <border>
      <left/>
      <right/>
      <top/>
      <bottom style="thin">
        <color theme="3" tint="-0.24994659260841701"/>
      </bottom>
      <diagonal/>
    </border>
    <border>
      <left/>
      <right/>
      <top style="thin">
        <color theme="3" tint="-0.24994659260841701"/>
      </top>
      <bottom/>
      <diagonal/>
    </border>
    <border>
      <left/>
      <right/>
      <top style="thin">
        <color indexed="64"/>
      </top>
      <bottom/>
      <diagonal/>
    </border>
    <border>
      <left/>
      <right/>
      <top style="medium">
        <color rgb="FF401028"/>
      </top>
      <bottom style="thin">
        <color rgb="FF401028"/>
      </bottom>
      <diagonal/>
    </border>
    <border>
      <left/>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16365C"/>
      </left>
      <right/>
      <top style="thin">
        <color rgb="FF16365C"/>
      </top>
      <bottom style="thin">
        <color rgb="FF16365C"/>
      </bottom>
      <diagonal/>
    </border>
    <border>
      <left/>
      <right/>
      <top style="thin">
        <color rgb="FF16365C"/>
      </top>
      <bottom style="thin">
        <color rgb="FF16365C"/>
      </bottom>
      <diagonal/>
    </border>
    <border>
      <left/>
      <right style="thin">
        <color rgb="FF16365C"/>
      </right>
      <top style="thin">
        <color rgb="FF16365C"/>
      </top>
      <bottom style="thin">
        <color rgb="FF16365C"/>
      </bottom>
      <diagonal/>
    </border>
    <border>
      <left/>
      <right/>
      <top style="medium">
        <color rgb="FF16365C"/>
      </top>
      <bottom style="thin">
        <color rgb="FF16365C"/>
      </bottom>
      <diagonal/>
    </border>
    <border>
      <left/>
      <right/>
      <top/>
      <bottom style="medium">
        <color rgb="FF16365C"/>
      </bottom>
      <diagonal/>
    </border>
    <border>
      <left/>
      <right/>
      <top style="medium">
        <color rgb="FF16365C"/>
      </top>
      <bottom/>
      <diagonal/>
    </border>
    <border>
      <left/>
      <right/>
      <top style="thin">
        <color rgb="FF16365C"/>
      </top>
      <bottom/>
      <diagonal/>
    </border>
    <border>
      <left style="thin">
        <color indexed="23"/>
      </left>
      <right style="thin">
        <color indexed="23"/>
      </right>
      <top style="thin">
        <color indexed="23"/>
      </top>
      <bottom style="thin">
        <color indexed="23"/>
      </bottom>
      <diagonal/>
    </border>
    <border>
      <left style="thin">
        <color indexed="64"/>
      </left>
      <right/>
      <top style="thin">
        <color theme="4" tint="-0.499984740745262"/>
      </top>
      <bottom/>
      <diagonal/>
    </border>
    <border>
      <left/>
      <right style="thin">
        <color theme="4" tint="-0.499984740745262"/>
      </right>
      <top style="thin">
        <color theme="4" tint="-0.499984740745262"/>
      </top>
      <bottom/>
      <diagonal/>
    </border>
    <border>
      <left/>
      <right/>
      <top style="medium">
        <color auto="1"/>
      </top>
      <bottom/>
      <diagonal/>
    </border>
    <border>
      <left/>
      <right/>
      <top/>
      <bottom style="medium">
        <color rgb="FF366092"/>
      </bottom>
      <diagonal/>
    </border>
  </borders>
  <cellStyleXfs count="36">
    <xf numFmtId="0" fontId="0" fillId="0" borderId="0"/>
    <xf numFmtId="0" fontId="2"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65" fontId="3" fillId="0" borderId="0" applyFill="0" applyBorder="0" applyAlignment="0" applyProtection="0"/>
    <xf numFmtId="169" fontId="3" fillId="0" borderId="0" applyFont="0" applyFill="0" applyBorder="0" applyAlignment="0" applyProtection="0"/>
    <xf numFmtId="170" fontId="3" fillId="0" borderId="0" applyFill="0" applyBorder="0" applyAlignment="0" applyProtection="0"/>
    <xf numFmtId="171" fontId="3" fillId="0" borderId="0" applyFont="0" applyFill="0" applyBorder="0" applyAlignment="0" applyProtection="0"/>
    <xf numFmtId="172" fontId="3" fillId="0" borderId="0"/>
    <xf numFmtId="0" fontId="4"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173" fontId="3" fillId="0" borderId="0" applyFont="0" applyFill="0" applyBorder="0" applyAlignment="0" applyProtection="0"/>
    <xf numFmtId="0" fontId="6" fillId="0" borderId="0"/>
    <xf numFmtId="174" fontId="3" fillId="0" borderId="0"/>
    <xf numFmtId="0" fontId="3" fillId="0" borderId="0"/>
    <xf numFmtId="174" fontId="3" fillId="0" borderId="0"/>
    <xf numFmtId="0" fontId="2" fillId="0" borderId="0"/>
    <xf numFmtId="0" fontId="3" fillId="0" borderId="0"/>
    <xf numFmtId="0" fontId="6" fillId="0" borderId="0"/>
    <xf numFmtId="10" fontId="3" fillId="0" borderId="0" applyFill="0" applyBorder="0" applyAlignment="0" applyProtection="0"/>
    <xf numFmtId="0" fontId="7"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8" fillId="3" borderId="1" applyNumberFormat="0" applyAlignment="0" applyProtection="0"/>
    <xf numFmtId="0" fontId="79" fillId="0" borderId="0" applyNumberFormat="0" applyFill="0" applyBorder="0" applyAlignment="0" applyProtection="0"/>
    <xf numFmtId="0" fontId="120" fillId="14" borderId="30" applyNumberFormat="0" applyAlignment="0" applyProtection="0"/>
    <xf numFmtId="0" fontId="1" fillId="0" borderId="0"/>
    <xf numFmtId="41" fontId="3" fillId="0" borderId="0" applyFont="0" applyFill="0" applyBorder="0" applyAlignment="0" applyProtection="0"/>
    <xf numFmtId="7" fontId="3" fillId="0" borderId="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0" fontId="1" fillId="0" borderId="0"/>
    <xf numFmtId="0" fontId="8" fillId="3" borderId="38" applyNumberFormat="0" applyAlignment="0" applyProtection="0"/>
  </cellStyleXfs>
  <cellXfs count="440">
    <xf numFmtId="0" fontId="0" fillId="0" borderId="0" xfId="0"/>
    <xf numFmtId="0" fontId="61" fillId="6" borderId="0" xfId="0" quotePrefix="1" applyFont="1" applyFill="1" applyAlignment="1" applyProtection="1">
      <alignment horizontal="left" vertical="top" wrapText="1"/>
      <protection locked="0"/>
    </xf>
    <xf numFmtId="167" fontId="62" fillId="6" borderId="0" xfId="0" applyNumberFormat="1" applyFont="1" applyFill="1" applyAlignment="1" applyProtection="1">
      <alignment horizontal="right" vertical="top" wrapText="1"/>
      <protection locked="0"/>
    </xf>
    <xf numFmtId="168" fontId="62" fillId="6" borderId="0" xfId="0" applyNumberFormat="1" applyFont="1" applyFill="1" applyAlignment="1" applyProtection="1">
      <alignment horizontal="right" vertical="top" wrapText="1"/>
      <protection locked="0"/>
    </xf>
    <xf numFmtId="0" fontId="61" fillId="0" borderId="0" xfId="0" quotePrefix="1" applyFont="1" applyAlignment="1" applyProtection="1">
      <alignment horizontal="left" vertical="top" wrapText="1"/>
      <protection locked="0"/>
    </xf>
    <xf numFmtId="167" fontId="63" fillId="0" borderId="0" xfId="0" applyNumberFormat="1" applyFont="1" applyAlignment="1" applyProtection="1">
      <alignment horizontal="right" vertical="top" wrapText="1"/>
      <protection locked="0"/>
    </xf>
    <xf numFmtId="168" fontId="62" fillId="0" borderId="0" xfId="0" applyNumberFormat="1" applyFont="1" applyAlignment="1" applyProtection="1">
      <alignment horizontal="right" vertical="top" wrapText="1"/>
      <protection locked="0"/>
    </xf>
    <xf numFmtId="167" fontId="62" fillId="0" borderId="0" xfId="0" applyNumberFormat="1" applyFont="1" applyAlignment="1" applyProtection="1">
      <alignment horizontal="right" vertical="top" wrapText="1"/>
      <protection locked="0"/>
    </xf>
    <xf numFmtId="168" fontId="62" fillId="0" borderId="9" xfId="0" applyNumberFormat="1" applyFont="1" applyBorder="1" applyAlignment="1" applyProtection="1">
      <alignment horizontal="right" vertical="top" wrapText="1"/>
      <protection locked="0"/>
    </xf>
    <xf numFmtId="0" fontId="66" fillId="7" borderId="0" xfId="0" quotePrefix="1" applyFont="1" applyFill="1" applyAlignment="1" applyProtection="1">
      <alignment horizontal="left" vertical="top" wrapText="1"/>
      <protection locked="0"/>
    </xf>
    <xf numFmtId="167" fontId="66" fillId="7" borderId="0" xfId="0" applyNumberFormat="1" applyFont="1" applyFill="1" applyAlignment="1" applyProtection="1">
      <alignment horizontal="right" vertical="top" wrapText="1"/>
      <protection locked="0"/>
    </xf>
    <xf numFmtId="168" fontId="66" fillId="7" borderId="0" xfId="0" applyNumberFormat="1" applyFont="1" applyFill="1" applyAlignment="1" applyProtection="1">
      <alignment horizontal="right" vertical="top" wrapText="1"/>
      <protection locked="0"/>
    </xf>
    <xf numFmtId="0" fontId="66" fillId="0" borderId="0" xfId="0" quotePrefix="1" applyFont="1" applyAlignment="1" applyProtection="1">
      <alignment horizontal="left" vertical="top" wrapText="1"/>
      <protection locked="0"/>
    </xf>
    <xf numFmtId="167" fontId="66" fillId="0" borderId="0" xfId="0" applyNumberFormat="1" applyFont="1" applyAlignment="1" applyProtection="1">
      <alignment horizontal="right" vertical="top" wrapText="1"/>
      <protection locked="0"/>
    </xf>
    <xf numFmtId="168" fontId="66" fillId="0" borderId="0" xfId="0" applyNumberFormat="1" applyFont="1" applyAlignment="1" applyProtection="1">
      <alignment horizontal="right" vertical="top" wrapText="1"/>
      <protection locked="0"/>
    </xf>
    <xf numFmtId="168" fontId="71" fillId="0" borderId="0" xfId="0" applyNumberFormat="1" applyFont="1" applyAlignment="1" applyProtection="1">
      <alignment horizontal="right" vertical="top" wrapText="1"/>
      <protection locked="0"/>
    </xf>
    <xf numFmtId="0" fontId="61" fillId="6" borderId="12" xfId="0" applyFont="1" applyFill="1" applyBorder="1" applyAlignment="1" applyProtection="1">
      <alignment vertical="top"/>
      <protection locked="0"/>
    </xf>
    <xf numFmtId="0" fontId="61" fillId="0" borderId="12" xfId="0" applyFont="1" applyBorder="1" applyAlignment="1" applyProtection="1">
      <alignment vertical="top"/>
      <protection locked="0"/>
    </xf>
    <xf numFmtId="0" fontId="80" fillId="0" borderId="0" xfId="0" applyFont="1"/>
    <xf numFmtId="0" fontId="22" fillId="0" borderId="0" xfId="0" applyFont="1" applyAlignment="1">
      <alignment horizontal="right" vertical="top"/>
    </xf>
    <xf numFmtId="0" fontId="10" fillId="0" borderId="0" xfId="0" applyFont="1"/>
    <xf numFmtId="0" fontId="21" fillId="4" borderId="3" xfId="0" applyFont="1" applyFill="1" applyBorder="1" applyAlignment="1">
      <alignment horizontal="right" vertical="center" wrapText="1"/>
    </xf>
    <xf numFmtId="167" fontId="84" fillId="0" borderId="0" xfId="0" applyNumberFormat="1" applyFont="1" applyAlignment="1">
      <alignment horizontal="right" wrapText="1"/>
    </xf>
    <xf numFmtId="0" fontId="44" fillId="0" borderId="0" xfId="0" applyFont="1"/>
    <xf numFmtId="0" fontId="15" fillId="0" borderId="0" xfId="0" applyFont="1"/>
    <xf numFmtId="0" fontId="16" fillId="0" borderId="0" xfId="0" applyFont="1"/>
    <xf numFmtId="0" fontId="51" fillId="0" borderId="0" xfId="0" applyFont="1" applyAlignment="1">
      <alignment horizontal="left" wrapText="1"/>
    </xf>
    <xf numFmtId="167" fontId="30" fillId="0" borderId="0" xfId="0" applyNumberFormat="1" applyFont="1" applyAlignment="1">
      <alignment horizontal="right" wrapText="1"/>
    </xf>
    <xf numFmtId="0" fontId="46" fillId="0" borderId="0" xfId="0" applyFont="1"/>
    <xf numFmtId="167" fontId="52" fillId="0" borderId="0" xfId="0" applyNumberFormat="1" applyFont="1" applyAlignment="1">
      <alignment horizontal="right" wrapText="1"/>
    </xf>
    <xf numFmtId="0" fontId="30" fillId="0" borderId="0" xfId="0" applyFont="1" applyAlignment="1">
      <alignment horizontal="left" wrapText="1"/>
    </xf>
    <xf numFmtId="0" fontId="32" fillId="0" borderId="0" xfId="0" applyFont="1" applyAlignment="1">
      <alignment horizontal="left" wrapText="1"/>
    </xf>
    <xf numFmtId="168" fontId="32" fillId="0" borderId="0" xfId="0" applyNumberFormat="1" applyFont="1" applyAlignment="1">
      <alignment horizontal="right" wrapText="1"/>
    </xf>
    <xf numFmtId="166" fontId="32" fillId="0" borderId="0" xfId="0" applyNumberFormat="1" applyFont="1" applyAlignment="1">
      <alignment horizontal="left" wrapText="1"/>
    </xf>
    <xf numFmtId="166" fontId="39" fillId="4" borderId="2" xfId="0" applyNumberFormat="1" applyFont="1" applyFill="1" applyBorder="1" applyAlignment="1">
      <alignment wrapText="1"/>
    </xf>
    <xf numFmtId="168" fontId="39" fillId="4" borderId="2" xfId="0" applyNumberFormat="1" applyFont="1" applyFill="1" applyBorder="1" applyAlignment="1">
      <alignment wrapText="1"/>
    </xf>
    <xf numFmtId="166" fontId="17" fillId="0" borderId="0" xfId="0" applyNumberFormat="1" applyFont="1" applyAlignment="1">
      <alignment horizontal="left" vertical="top" wrapText="1"/>
    </xf>
    <xf numFmtId="167" fontId="10" fillId="0" borderId="0" xfId="0" applyNumberFormat="1" applyFont="1"/>
    <xf numFmtId="0" fontId="18" fillId="0" borderId="0" xfId="0" applyFont="1"/>
    <xf numFmtId="168" fontId="10" fillId="0" borderId="0" xfId="0" applyNumberFormat="1" applyFont="1"/>
    <xf numFmtId="0" fontId="27" fillId="0" borderId="0" xfId="0" applyFont="1" applyAlignment="1">
      <alignment horizontal="left" vertical="center" wrapText="1" indent="1"/>
    </xf>
    <xf numFmtId="0" fontId="27" fillId="0" borderId="0" xfId="0" applyFont="1" applyAlignment="1">
      <alignment vertical="center"/>
    </xf>
    <xf numFmtId="0" fontId="54" fillId="5" borderId="0" xfId="0" applyFont="1" applyFill="1"/>
    <xf numFmtId="0" fontId="54" fillId="0" borderId="0" xfId="0" applyFont="1"/>
    <xf numFmtId="0" fontId="37" fillId="4" borderId="11" xfId="0" applyFont="1" applyFill="1" applyBorder="1" applyAlignment="1">
      <alignment horizontal="left" wrapText="1"/>
    </xf>
    <xf numFmtId="0" fontId="37" fillId="4" borderId="11" xfId="0" applyFont="1" applyFill="1" applyBorder="1" applyAlignment="1">
      <alignment horizontal="right" vertical="center" wrapText="1"/>
    </xf>
    <xf numFmtId="0" fontId="72" fillId="0" borderId="0" xfId="0" applyFont="1" applyAlignment="1">
      <alignment wrapText="1"/>
    </xf>
    <xf numFmtId="0" fontId="53" fillId="0" borderId="0" xfId="0" applyFont="1" applyAlignment="1">
      <alignment horizontal="left" wrapText="1"/>
    </xf>
    <xf numFmtId="168" fontId="53" fillId="0" borderId="0" xfId="0" applyNumberFormat="1" applyFont="1" applyAlignment="1">
      <alignment horizontal="right" wrapText="1"/>
    </xf>
    <xf numFmtId="0" fontId="43" fillId="0" borderId="0" xfId="0" applyFont="1" applyAlignment="1">
      <alignment horizontal="left" wrapText="1"/>
    </xf>
    <xf numFmtId="167" fontId="43" fillId="0" borderId="0" xfId="0" applyNumberFormat="1" applyFont="1" applyAlignment="1">
      <alignment horizontal="right" wrapText="1"/>
    </xf>
    <xf numFmtId="168" fontId="92" fillId="9" borderId="14" xfId="0" applyNumberFormat="1" applyFont="1" applyFill="1" applyBorder="1" applyAlignment="1">
      <alignment horizontal="right" wrapText="1"/>
    </xf>
    <xf numFmtId="168" fontId="92" fillId="9" borderId="0" xfId="0" applyNumberFormat="1" applyFont="1" applyFill="1" applyAlignment="1">
      <alignment horizontal="right" wrapText="1"/>
    </xf>
    <xf numFmtId="167" fontId="43" fillId="9" borderId="0" xfId="0" applyNumberFormat="1" applyFont="1" applyFill="1" applyAlignment="1">
      <alignment horizontal="right" wrapText="1"/>
    </xf>
    <xf numFmtId="168" fontId="92" fillId="9" borderId="9" xfId="0" applyNumberFormat="1" applyFont="1" applyFill="1" applyBorder="1" applyAlignment="1">
      <alignment horizontal="right" wrapText="1"/>
    </xf>
    <xf numFmtId="168" fontId="53" fillId="9" borderId="0" xfId="0" applyNumberFormat="1" applyFont="1" applyFill="1" applyAlignment="1">
      <alignment horizontal="right" wrapText="1"/>
    </xf>
    <xf numFmtId="168" fontId="40" fillId="9" borderId="0" xfId="0" applyNumberFormat="1" applyFont="1" applyFill="1" applyAlignment="1">
      <alignment horizontal="right" wrapText="1"/>
    </xf>
    <xf numFmtId="0" fontId="42" fillId="9" borderId="15" xfId="0" applyFont="1" applyFill="1" applyBorder="1" applyAlignment="1">
      <alignment horizontal="left" wrapText="1"/>
    </xf>
    <xf numFmtId="167" fontId="42" fillId="9" borderId="15" xfId="0" applyNumberFormat="1" applyFont="1" applyFill="1" applyBorder="1" applyAlignment="1">
      <alignment horizontal="right" wrapText="1"/>
    </xf>
    <xf numFmtId="168" fontId="51" fillId="0" borderId="0" xfId="0" applyNumberFormat="1" applyFont="1" applyAlignment="1">
      <alignment horizontal="right" wrapText="1"/>
    </xf>
    <xf numFmtId="0" fontId="78" fillId="10" borderId="16" xfId="0" applyFont="1" applyFill="1" applyBorder="1" applyAlignment="1">
      <alignment horizontal="left" wrapText="1"/>
    </xf>
    <xf numFmtId="168" fontId="78" fillId="10" borderId="16" xfId="18" applyNumberFormat="1" applyFont="1" applyFill="1" applyBorder="1" applyAlignment="1">
      <alignment horizontal="right"/>
    </xf>
    <xf numFmtId="0" fontId="31" fillId="10" borderId="0" xfId="0" applyFont="1" applyFill="1" applyAlignment="1">
      <alignment horizontal="left" wrapText="1"/>
    </xf>
    <xf numFmtId="167" fontId="28" fillId="10" borderId="0" xfId="0" applyNumberFormat="1" applyFont="1" applyFill="1" applyAlignment="1">
      <alignment horizontal="right" wrapText="1"/>
    </xf>
    <xf numFmtId="0" fontId="78" fillId="10" borderId="0" xfId="0" applyFont="1" applyFill="1" applyAlignment="1">
      <alignment horizontal="left" wrapText="1"/>
    </xf>
    <xf numFmtId="168" fontId="78" fillId="10" borderId="0" xfId="18" applyNumberFormat="1" applyFont="1" applyFill="1" applyAlignment="1">
      <alignment horizontal="right"/>
    </xf>
    <xf numFmtId="0" fontId="28" fillId="10" borderId="0" xfId="0" applyFont="1" applyFill="1" applyAlignment="1">
      <alignment horizontal="left" wrapText="1"/>
    </xf>
    <xf numFmtId="168" fontId="28" fillId="10" borderId="0" xfId="18" applyNumberFormat="1" applyFont="1" applyFill="1" applyAlignment="1">
      <alignment horizontal="right"/>
    </xf>
    <xf numFmtId="0" fontId="31" fillId="10" borderId="17" xfId="0" applyFont="1" applyFill="1" applyBorder="1" applyAlignment="1">
      <alignment horizontal="left" wrapText="1"/>
    </xf>
    <xf numFmtId="175" fontId="31" fillId="10" borderId="17" xfId="18" applyNumberFormat="1" applyFont="1" applyFill="1" applyBorder="1" applyAlignment="1">
      <alignment horizontal="right" wrapText="1"/>
    </xf>
    <xf numFmtId="168" fontId="36" fillId="0" borderId="0" xfId="0" applyNumberFormat="1" applyFont="1" applyAlignment="1">
      <alignment horizontal="right" wrapText="1"/>
    </xf>
    <xf numFmtId="166" fontId="39" fillId="0" borderId="0" xfId="0" applyNumberFormat="1" applyFont="1" applyAlignment="1">
      <alignment wrapText="1"/>
    </xf>
    <xf numFmtId="168" fontId="39" fillId="0" borderId="0" xfId="0" applyNumberFormat="1" applyFont="1" applyAlignment="1">
      <alignment wrapText="1"/>
    </xf>
    <xf numFmtId="168" fontId="36" fillId="0" borderId="0" xfId="0" applyNumberFormat="1" applyFont="1" applyAlignment="1">
      <alignment horizontal="right" vertical="center" wrapText="1"/>
    </xf>
    <xf numFmtId="0" fontId="9" fillId="0" borderId="0" xfId="0" applyFont="1"/>
    <xf numFmtId="168" fontId="9" fillId="0" borderId="0" xfId="0" applyNumberFormat="1" applyFont="1" applyAlignment="1">
      <alignment horizontal="right"/>
    </xf>
    <xf numFmtId="166" fontId="39" fillId="4" borderId="0" xfId="0" applyNumberFormat="1" applyFont="1" applyFill="1" applyAlignment="1">
      <alignment wrapText="1"/>
    </xf>
    <xf numFmtId="168" fontId="39" fillId="4" borderId="0" xfId="0" applyNumberFormat="1" applyFont="1" applyFill="1" applyAlignment="1">
      <alignment wrapText="1"/>
    </xf>
    <xf numFmtId="167" fontId="0" fillId="0" borderId="0" xfId="0" applyNumberFormat="1"/>
    <xf numFmtId="0" fontId="75" fillId="0" borderId="0" xfId="0" applyFont="1"/>
    <xf numFmtId="0" fontId="55" fillId="0" borderId="0" xfId="0" applyFont="1" applyAlignment="1" applyProtection="1">
      <alignment horizontal="left" vertical="top" wrapText="1"/>
      <protection locked="0"/>
    </xf>
    <xf numFmtId="0" fontId="40" fillId="0" borderId="0" xfId="0" applyFont="1" applyAlignment="1" applyProtection="1">
      <alignment vertical="top"/>
      <protection locked="0"/>
    </xf>
    <xf numFmtId="0" fontId="10" fillId="0" borderId="0" xfId="0" applyFont="1" applyAlignment="1" applyProtection="1">
      <alignment vertical="top"/>
      <protection locked="0"/>
    </xf>
    <xf numFmtId="0" fontId="54" fillId="0" borderId="0" xfId="0" applyFont="1" applyAlignment="1" applyProtection="1">
      <alignment vertical="top"/>
      <protection locked="0"/>
    </xf>
    <xf numFmtId="0" fontId="11" fillId="0" borderId="0" xfId="0" applyFont="1" applyAlignment="1" applyProtection="1">
      <alignment vertical="top"/>
      <protection locked="0"/>
    </xf>
    <xf numFmtId="0" fontId="54" fillId="6" borderId="0" xfId="0" applyFont="1" applyFill="1" applyAlignment="1" applyProtection="1">
      <alignment vertical="top"/>
      <protection locked="0"/>
    </xf>
    <xf numFmtId="0" fontId="61" fillId="6" borderId="0" xfId="0" applyFont="1" applyFill="1" applyAlignment="1" applyProtection="1">
      <alignment vertical="top" wrapText="1"/>
      <protection locked="0"/>
    </xf>
    <xf numFmtId="0" fontId="61" fillId="0" borderId="0" xfId="0" applyFont="1" applyAlignment="1" applyProtection="1">
      <alignment vertical="top" wrapText="1"/>
      <protection locked="0"/>
    </xf>
    <xf numFmtId="0" fontId="67" fillId="0" borderId="0" xfId="0" applyFont="1" applyAlignment="1" applyProtection="1">
      <alignment vertical="top"/>
      <protection locked="0"/>
    </xf>
    <xf numFmtId="0" fontId="67" fillId="0" borderId="0" xfId="0" applyFont="1" applyAlignment="1" applyProtection="1">
      <alignment vertical="top" wrapText="1"/>
      <protection locked="0"/>
    </xf>
    <xf numFmtId="168" fontId="10" fillId="0" borderId="0" xfId="0" applyNumberFormat="1" applyFont="1" applyAlignment="1" applyProtection="1">
      <alignment vertical="top"/>
      <protection locked="0"/>
    </xf>
    <xf numFmtId="0" fontId="58" fillId="0" borderId="0" xfId="0" applyFont="1" applyAlignment="1" applyProtection="1">
      <alignment horizontal="left" vertical="top" wrapText="1"/>
      <protection locked="0"/>
    </xf>
    <xf numFmtId="168" fontId="29" fillId="0" borderId="0" xfId="0" applyNumberFormat="1" applyFont="1" applyAlignment="1" applyProtection="1">
      <alignment vertical="top"/>
      <protection locked="0"/>
    </xf>
    <xf numFmtId="165" fontId="31" fillId="7" borderId="0" xfId="18" applyNumberFormat="1" applyFont="1" applyFill="1" applyAlignment="1" applyProtection="1">
      <alignment horizontal="right" vertical="top"/>
      <protection locked="0"/>
    </xf>
    <xf numFmtId="0" fontId="54" fillId="7" borderId="0" xfId="0" applyFont="1" applyFill="1" applyAlignment="1" applyProtection="1">
      <alignment vertical="top"/>
      <protection locked="0"/>
    </xf>
    <xf numFmtId="0" fontId="66" fillId="7" borderId="12" xfId="0" applyFont="1" applyFill="1" applyBorder="1" applyAlignment="1" applyProtection="1">
      <alignment vertical="top"/>
      <protection locked="0"/>
    </xf>
    <xf numFmtId="0" fontId="66" fillId="7" borderId="0" xfId="0" applyFont="1" applyFill="1" applyAlignment="1" applyProtection="1">
      <alignment vertical="top" wrapText="1"/>
      <protection locked="0"/>
    </xf>
    <xf numFmtId="165" fontId="31" fillId="0" borderId="0" xfId="18" applyNumberFormat="1" applyFont="1" applyAlignment="1" applyProtection="1">
      <alignment horizontal="right" vertical="top"/>
      <protection locked="0"/>
    </xf>
    <xf numFmtId="0" fontId="66" fillId="0" borderId="12" xfId="0" applyFont="1" applyBorder="1" applyAlignment="1" applyProtection="1">
      <alignment vertical="top"/>
      <protection locked="0"/>
    </xf>
    <xf numFmtId="0" fontId="66" fillId="0" borderId="0" xfId="0" applyFont="1" applyAlignment="1" applyProtection="1">
      <alignment vertical="top" wrapText="1"/>
      <protection locked="0"/>
    </xf>
    <xf numFmtId="0" fontId="66" fillId="0" borderId="0" xfId="0" applyFont="1" applyAlignment="1" applyProtection="1">
      <alignment vertical="top"/>
      <protection locked="0"/>
    </xf>
    <xf numFmtId="166" fontId="56" fillId="0" borderId="0" xfId="0" quotePrefix="1" applyNumberFormat="1" applyFont="1" applyAlignment="1" applyProtection="1">
      <alignment vertical="top" wrapText="1"/>
      <protection locked="0"/>
    </xf>
    <xf numFmtId="0" fontId="36" fillId="0" borderId="0" xfId="0" applyFont="1" applyAlignment="1" applyProtection="1">
      <alignment vertical="top"/>
      <protection locked="0"/>
    </xf>
    <xf numFmtId="168" fontId="36" fillId="0" borderId="0" xfId="0" applyNumberFormat="1" applyFont="1" applyAlignment="1" applyProtection="1">
      <alignment vertical="top"/>
      <protection locked="0"/>
    </xf>
    <xf numFmtId="166" fontId="69" fillId="0" borderId="0" xfId="0" quotePrefix="1" applyNumberFormat="1" applyFont="1" applyAlignment="1" applyProtection="1">
      <alignment vertical="top" wrapText="1"/>
      <protection locked="0"/>
    </xf>
    <xf numFmtId="168" fontId="70" fillId="0" borderId="0" xfId="0" applyNumberFormat="1" applyFont="1" applyAlignment="1" applyProtection="1">
      <alignment horizontal="right" vertical="top"/>
      <protection locked="0"/>
    </xf>
    <xf numFmtId="0" fontId="81" fillId="0" borderId="0" xfId="0" applyFont="1"/>
    <xf numFmtId="0" fontId="0" fillId="0" borderId="0" xfId="0" applyAlignment="1">
      <alignment wrapText="1"/>
    </xf>
    <xf numFmtId="0" fontId="29" fillId="10" borderId="0" xfId="0" applyFont="1" applyFill="1" applyAlignment="1">
      <alignment horizontal="left" wrapText="1"/>
    </xf>
    <xf numFmtId="0" fontId="38" fillId="0" borderId="0" xfId="0" applyFont="1" applyAlignment="1">
      <alignment vertical="top"/>
    </xf>
    <xf numFmtId="166" fontId="77" fillId="0" borderId="0" xfId="0" applyNumberFormat="1" applyFont="1" applyAlignment="1">
      <alignment horizontal="left" vertical="top" wrapText="1"/>
    </xf>
    <xf numFmtId="176" fontId="10" fillId="0" borderId="0" xfId="0" applyNumberFormat="1" applyFont="1"/>
    <xf numFmtId="0" fontId="56" fillId="4" borderId="10" xfId="0" applyFont="1" applyFill="1" applyBorder="1" applyAlignment="1">
      <alignment horizontal="left" wrapText="1"/>
    </xf>
    <xf numFmtId="168" fontId="56" fillId="4" borderId="10" xfId="0" applyNumberFormat="1" applyFont="1" applyFill="1" applyBorder="1"/>
    <xf numFmtId="168" fontId="56" fillId="4" borderId="10" xfId="0" applyNumberFormat="1" applyFont="1" applyFill="1" applyBorder="1" applyAlignment="1">
      <alignment wrapText="1"/>
    </xf>
    <xf numFmtId="0" fontId="36" fillId="4" borderId="10" xfId="0" applyFont="1" applyFill="1" applyBorder="1"/>
    <xf numFmtId="0" fontId="68" fillId="0" borderId="0" xfId="0" applyFont="1" applyAlignment="1">
      <alignment horizontal="left" vertical="top" wrapText="1"/>
    </xf>
    <xf numFmtId="167" fontId="68" fillId="0" borderId="0" xfId="0" applyNumberFormat="1" applyFont="1" applyAlignment="1">
      <alignment horizontal="right" vertical="top" wrapText="1"/>
    </xf>
    <xf numFmtId="168" fontId="68" fillId="0" borderId="8" xfId="0" applyNumberFormat="1" applyFont="1" applyBorder="1" applyAlignment="1">
      <alignment horizontal="right" vertical="top" wrapText="1"/>
    </xf>
    <xf numFmtId="165" fontId="30" fillId="0" borderId="0" xfId="18" applyNumberFormat="1" applyFont="1" applyAlignment="1">
      <alignment horizontal="right" vertical="top"/>
    </xf>
    <xf numFmtId="0" fontId="54" fillId="0" borderId="0" xfId="0" applyFont="1" applyAlignment="1">
      <alignment vertical="top"/>
    </xf>
    <xf numFmtId="0" fontId="67" fillId="0" borderId="0" xfId="0" applyFont="1" applyAlignment="1">
      <alignment vertical="top"/>
    </xf>
    <xf numFmtId="0" fontId="64" fillId="0" borderId="0" xfId="0" applyFont="1" applyAlignment="1">
      <alignment horizontal="left" vertical="top" wrapText="1"/>
    </xf>
    <xf numFmtId="167" fontId="65" fillId="0" borderId="0" xfId="0" applyNumberFormat="1" applyFont="1" applyAlignment="1">
      <alignment horizontal="right" vertical="top" wrapText="1"/>
    </xf>
    <xf numFmtId="168" fontId="65" fillId="0" borderId="0" xfId="0" applyNumberFormat="1" applyFont="1" applyAlignment="1">
      <alignment horizontal="right" vertical="top" wrapText="1"/>
    </xf>
    <xf numFmtId="0" fontId="67" fillId="0" borderId="0" xfId="0" applyFont="1" applyAlignment="1">
      <alignment vertical="top" wrapText="1"/>
    </xf>
    <xf numFmtId="167" fontId="41" fillId="9" borderId="14" xfId="0" applyNumberFormat="1" applyFont="1" applyFill="1" applyBorder="1" applyAlignment="1">
      <alignment horizontal="right" wrapText="1"/>
    </xf>
    <xf numFmtId="167" fontId="41" fillId="9" borderId="0" xfId="0" applyNumberFormat="1" applyFont="1" applyFill="1" applyAlignment="1">
      <alignment horizontal="right" wrapText="1"/>
    </xf>
    <xf numFmtId="167" fontId="41" fillId="9" borderId="9" xfId="0" applyNumberFormat="1" applyFont="1" applyFill="1" applyBorder="1" applyAlignment="1">
      <alignment horizontal="right" wrapText="1"/>
    </xf>
    <xf numFmtId="168" fontId="23" fillId="9" borderId="0" xfId="0" applyNumberFormat="1" applyFont="1" applyFill="1" applyAlignment="1">
      <alignment horizontal="right" wrapText="1"/>
    </xf>
    <xf numFmtId="168" fontId="41" fillId="9" borderId="0" xfId="0" applyNumberFormat="1" applyFont="1" applyFill="1" applyAlignment="1">
      <alignment horizontal="right" wrapText="1"/>
    </xf>
    <xf numFmtId="0" fontId="11" fillId="0" borderId="0" xfId="0" applyFont="1"/>
    <xf numFmtId="168" fontId="29" fillId="10" borderId="0" xfId="18" applyNumberFormat="1" applyFont="1" applyFill="1" applyAlignment="1">
      <alignment horizontal="right"/>
    </xf>
    <xf numFmtId="168" fontId="106" fillId="0" borderId="0" xfId="0" applyNumberFormat="1" applyFont="1" applyAlignment="1">
      <alignment horizontal="right" wrapText="1"/>
    </xf>
    <xf numFmtId="167" fontId="29" fillId="10" borderId="16" xfId="0" applyNumberFormat="1" applyFont="1" applyFill="1" applyBorder="1" applyAlignment="1">
      <alignment horizontal="right" wrapText="1"/>
    </xf>
    <xf numFmtId="167" fontId="29" fillId="10" borderId="0" xfId="0" applyNumberFormat="1" applyFont="1" applyFill="1" applyAlignment="1">
      <alignment horizontal="right" wrapText="1"/>
    </xf>
    <xf numFmtId="167" fontId="31" fillId="10" borderId="0" xfId="0" applyNumberFormat="1" applyFont="1" applyFill="1" applyAlignment="1">
      <alignment horizontal="right" wrapText="1"/>
    </xf>
    <xf numFmtId="166" fontId="36" fillId="4" borderId="0" xfId="0" applyNumberFormat="1" applyFont="1" applyFill="1" applyAlignment="1">
      <alignment wrapText="1"/>
    </xf>
    <xf numFmtId="168" fontId="36" fillId="4" borderId="0" xfId="0" applyNumberFormat="1" applyFont="1" applyFill="1" applyAlignment="1">
      <alignment wrapText="1"/>
    </xf>
    <xf numFmtId="167" fontId="89" fillId="0" borderId="0" xfId="0" applyNumberFormat="1" applyFont="1" applyAlignment="1">
      <alignment wrapText="1"/>
    </xf>
    <xf numFmtId="167" fontId="42" fillId="9" borderId="0" xfId="0" applyNumberFormat="1" applyFont="1" applyFill="1" applyAlignment="1">
      <alignment horizontal="right" wrapText="1"/>
    </xf>
    <xf numFmtId="167" fontId="42" fillId="9" borderId="9" xfId="0" applyNumberFormat="1" applyFont="1" applyFill="1" applyBorder="1" applyAlignment="1">
      <alignment horizontal="right" wrapText="1"/>
    </xf>
    <xf numFmtId="168" fontId="28" fillId="10" borderId="8" xfId="0" applyNumberFormat="1" applyFont="1" applyFill="1" applyBorder="1" applyAlignment="1">
      <alignment horizontal="right" wrapText="1"/>
    </xf>
    <xf numFmtId="168" fontId="29" fillId="10" borderId="8" xfId="0" applyNumberFormat="1" applyFont="1" applyFill="1" applyBorder="1" applyAlignment="1">
      <alignment horizontal="right" wrapText="1"/>
    </xf>
    <xf numFmtId="167" fontId="31" fillId="10" borderId="20" xfId="0" applyNumberFormat="1" applyFont="1" applyFill="1" applyBorder="1" applyAlignment="1">
      <alignment horizontal="right" wrapText="1"/>
    </xf>
    <xf numFmtId="0" fontId="9" fillId="0" borderId="0" xfId="0" applyFont="1" applyAlignment="1">
      <alignment wrapText="1"/>
    </xf>
    <xf numFmtId="168" fontId="109" fillId="0" borderId="21" xfId="0" applyNumberFormat="1" applyFont="1" applyBorder="1" applyAlignment="1">
      <alignment horizontal="right" vertical="top" wrapText="1"/>
    </xf>
    <xf numFmtId="168" fontId="109" fillId="0" borderId="0" xfId="0" applyNumberFormat="1" applyFont="1" applyAlignment="1" applyProtection="1">
      <alignment horizontal="left" vertical="top" wrapText="1"/>
      <protection locked="0"/>
    </xf>
    <xf numFmtId="168" fontId="109" fillId="0" borderId="0" xfId="0" applyNumberFormat="1" applyFont="1" applyAlignment="1">
      <alignment horizontal="right" vertical="top" wrapText="1"/>
    </xf>
    <xf numFmtId="166" fontId="110" fillId="4" borderId="2" xfId="0" applyNumberFormat="1" applyFont="1" applyFill="1" applyBorder="1" applyAlignment="1">
      <alignment wrapText="1"/>
    </xf>
    <xf numFmtId="167" fontId="110" fillId="4" borderId="2" xfId="0" applyNumberFormat="1" applyFont="1" applyFill="1" applyBorder="1" applyAlignment="1">
      <alignment wrapText="1"/>
    </xf>
    <xf numFmtId="166" fontId="35" fillId="4" borderId="0" xfId="0" applyNumberFormat="1" applyFont="1" applyFill="1" applyAlignment="1">
      <alignment wrapText="1"/>
    </xf>
    <xf numFmtId="168" fontId="35" fillId="4" borderId="0" xfId="0" applyNumberFormat="1" applyFont="1" applyFill="1" applyAlignment="1">
      <alignment wrapText="1"/>
    </xf>
    <xf numFmtId="167" fontId="111" fillId="4" borderId="0" xfId="0" applyNumberFormat="1" applyFont="1" applyFill="1" applyAlignment="1">
      <alignment wrapText="1"/>
    </xf>
    <xf numFmtId="177" fontId="0" fillId="0" borderId="0" xfId="0" applyNumberFormat="1"/>
    <xf numFmtId="177" fontId="70" fillId="0" borderId="0" xfId="0" applyNumberFormat="1" applyFont="1" applyAlignment="1">
      <alignment horizontal="right" vertical="top"/>
    </xf>
    <xf numFmtId="166" fontId="39" fillId="4" borderId="22" xfId="0" applyNumberFormat="1" applyFont="1" applyFill="1" applyBorder="1" applyAlignment="1">
      <alignment wrapText="1"/>
    </xf>
    <xf numFmtId="168" fontId="39" fillId="4" borderId="22" xfId="0" applyNumberFormat="1" applyFont="1" applyFill="1" applyBorder="1" applyAlignment="1">
      <alignment wrapText="1"/>
    </xf>
    <xf numFmtId="177" fontId="112" fillId="0" borderId="0" xfId="0" applyNumberFormat="1" applyFont="1" applyAlignment="1" applyProtection="1">
      <alignment horizontal="right" vertical="top"/>
      <protection locked="0"/>
    </xf>
    <xf numFmtId="166" fontId="113" fillId="0" borderId="0" xfId="0" quotePrefix="1" applyNumberFormat="1" applyFont="1" applyAlignment="1">
      <alignment vertical="top" wrapText="1"/>
    </xf>
    <xf numFmtId="0" fontId="81" fillId="0" borderId="0" xfId="0" applyFont="1" applyAlignment="1">
      <alignment wrapText="1"/>
    </xf>
    <xf numFmtId="0" fontId="82" fillId="0" borderId="0" xfId="0" applyFont="1"/>
    <xf numFmtId="0" fontId="114" fillId="0" borderId="0" xfId="0" applyFont="1"/>
    <xf numFmtId="0" fontId="104" fillId="4" borderId="3" xfId="0" applyFont="1" applyFill="1" applyBorder="1" applyAlignment="1">
      <alignment horizontal="right" vertical="center" wrapText="1"/>
    </xf>
    <xf numFmtId="168" fontId="92" fillId="9" borderId="14" xfId="0" applyNumberFormat="1" applyFont="1" applyFill="1" applyBorder="1" applyAlignment="1">
      <alignment horizontal="left" wrapText="1"/>
    </xf>
    <xf numFmtId="168" fontId="92" fillId="9" borderId="0" xfId="0" applyNumberFormat="1" applyFont="1" applyFill="1" applyAlignment="1">
      <alignment horizontal="left" wrapText="1"/>
    </xf>
    <xf numFmtId="168" fontId="92" fillId="9" borderId="9" xfId="0" applyNumberFormat="1" applyFont="1" applyFill="1" applyBorder="1" applyAlignment="1">
      <alignment horizontal="left" wrapText="1"/>
    </xf>
    <xf numFmtId="168" fontId="53" fillId="9" borderId="0" xfId="0" applyNumberFormat="1" applyFont="1" applyFill="1" applyAlignment="1">
      <alignment horizontal="left" wrapText="1"/>
    </xf>
    <xf numFmtId="167" fontId="43" fillId="9" borderId="0" xfId="0" applyNumberFormat="1" applyFont="1" applyFill="1" applyAlignment="1">
      <alignment horizontal="left" wrapText="1"/>
    </xf>
    <xf numFmtId="168" fontId="40" fillId="9" borderId="0" xfId="0" applyNumberFormat="1" applyFont="1" applyFill="1" applyAlignment="1">
      <alignment horizontal="left" wrapText="1"/>
    </xf>
    <xf numFmtId="167" fontId="90" fillId="0" borderId="0" xfId="0" applyNumberFormat="1" applyFont="1" applyAlignment="1">
      <alignment horizontal="left" wrapText="1"/>
    </xf>
    <xf numFmtId="168" fontId="90" fillId="0" borderId="0" xfId="0" applyNumberFormat="1" applyFont="1" applyAlignment="1">
      <alignment horizontal="right" wrapText="1"/>
    </xf>
    <xf numFmtId="167" fontId="91" fillId="0" borderId="0" xfId="0" applyNumberFormat="1" applyFont="1" applyAlignment="1">
      <alignment horizontal="left" wrapText="1"/>
    </xf>
    <xf numFmtId="166" fontId="116" fillId="4" borderId="0" xfId="0" applyNumberFormat="1" applyFont="1" applyFill="1" applyAlignment="1">
      <alignment wrapText="1"/>
    </xf>
    <xf numFmtId="166" fontId="116" fillId="0" borderId="23" xfId="0" applyNumberFormat="1" applyFont="1" applyBorder="1" applyAlignment="1">
      <alignment wrapText="1"/>
    </xf>
    <xf numFmtId="168" fontId="90" fillId="0" borderId="26" xfId="0" applyNumberFormat="1" applyFont="1" applyBorder="1" applyAlignment="1">
      <alignment horizontal="right" wrapText="1"/>
    </xf>
    <xf numFmtId="168" fontId="90" fillId="0" borderId="25" xfId="0" applyNumberFormat="1" applyFont="1" applyBorder="1" applyAlignment="1">
      <alignment horizontal="right" wrapText="1"/>
    </xf>
    <xf numFmtId="167" fontId="117" fillId="0" borderId="25" xfId="0" applyNumberFormat="1" applyFont="1" applyBorder="1" applyAlignment="1">
      <alignment horizontal="right" wrapText="1"/>
    </xf>
    <xf numFmtId="167" fontId="89" fillId="4" borderId="0" xfId="0" applyNumberFormat="1" applyFont="1" applyFill="1" applyAlignment="1">
      <alignment wrapText="1"/>
    </xf>
    <xf numFmtId="168" fontId="91" fillId="0" borderId="0" xfId="0" applyNumberFormat="1" applyFont="1" applyAlignment="1">
      <alignment horizontal="right" wrapText="1"/>
    </xf>
    <xf numFmtId="166" fontId="39" fillId="4" borderId="26" xfId="0" applyNumberFormat="1" applyFont="1" applyFill="1" applyBorder="1" applyAlignment="1">
      <alignment wrapText="1"/>
    </xf>
    <xf numFmtId="168" fontId="39" fillId="4" borderId="26" xfId="0" applyNumberFormat="1" applyFont="1" applyFill="1" applyBorder="1" applyAlignment="1">
      <alignment wrapText="1"/>
    </xf>
    <xf numFmtId="166" fontId="111" fillId="4" borderId="2" xfId="0" applyNumberFormat="1" applyFont="1" applyFill="1" applyBorder="1" applyAlignment="1">
      <alignment wrapText="1"/>
    </xf>
    <xf numFmtId="167" fontId="111" fillId="4" borderId="2" xfId="0" applyNumberFormat="1" applyFont="1" applyFill="1" applyBorder="1" applyAlignment="1">
      <alignment wrapText="1"/>
    </xf>
    <xf numFmtId="168" fontId="68" fillId="0" borderId="0" xfId="0" applyNumberFormat="1" applyFont="1" applyAlignment="1">
      <alignment horizontal="right" vertical="top" wrapText="1"/>
    </xf>
    <xf numFmtId="168" fontId="68" fillId="0" borderId="21" xfId="0" applyNumberFormat="1" applyFont="1" applyBorder="1" applyAlignment="1">
      <alignment horizontal="right" vertical="top" wrapText="1"/>
    </xf>
    <xf numFmtId="178" fontId="10" fillId="0" borderId="0" xfId="0" applyNumberFormat="1" applyFont="1"/>
    <xf numFmtId="0" fontId="69" fillId="0" borderId="12" xfId="0" applyFont="1" applyBorder="1" applyAlignment="1">
      <alignment vertical="top" wrapText="1"/>
    </xf>
    <xf numFmtId="0" fontId="10" fillId="13" borderId="0" xfId="0" applyFont="1" applyFill="1"/>
    <xf numFmtId="166" fontId="69" fillId="13" borderId="0" xfId="0" quotePrefix="1" applyNumberFormat="1" applyFont="1" applyFill="1" applyAlignment="1" applyProtection="1">
      <alignment vertical="top" wrapText="1"/>
      <protection locked="0"/>
    </xf>
    <xf numFmtId="168" fontId="70" fillId="13" borderId="0" xfId="0" applyNumberFormat="1" applyFont="1" applyFill="1" applyAlignment="1" applyProtection="1">
      <alignment horizontal="right" vertical="top"/>
      <protection locked="0"/>
    </xf>
    <xf numFmtId="168" fontId="71" fillId="13" borderId="0" xfId="0" applyNumberFormat="1" applyFont="1" applyFill="1" applyAlignment="1" applyProtection="1">
      <alignment horizontal="right" vertical="top" wrapText="1"/>
      <protection locked="0"/>
    </xf>
    <xf numFmtId="0" fontId="36" fillId="13" borderId="0" xfId="0" applyFont="1" applyFill="1" applyAlignment="1" applyProtection="1">
      <alignment vertical="top"/>
      <protection locked="0"/>
    </xf>
    <xf numFmtId="0" fontId="54" fillId="13" borderId="0" xfId="0" applyFont="1" applyFill="1" applyAlignment="1" applyProtection="1">
      <alignment vertical="top"/>
      <protection locked="0"/>
    </xf>
    <xf numFmtId="0" fontId="69" fillId="13" borderId="12" xfId="0" applyFont="1" applyFill="1" applyBorder="1" applyAlignment="1">
      <alignment vertical="top" wrapText="1"/>
    </xf>
    <xf numFmtId="0" fontId="67" fillId="13" borderId="0" xfId="0" applyFont="1" applyFill="1" applyAlignment="1" applyProtection="1">
      <alignment vertical="top"/>
      <protection locked="0"/>
    </xf>
    <xf numFmtId="0" fontId="119" fillId="0" borderId="0" xfId="0" applyFont="1" applyAlignment="1">
      <alignment wrapText="1"/>
    </xf>
    <xf numFmtId="0" fontId="119" fillId="0" borderId="0" xfId="0" applyFont="1"/>
    <xf numFmtId="168" fontId="119" fillId="0" borderId="0" xfId="0" applyNumberFormat="1" applyFont="1" applyAlignment="1">
      <alignment horizontal="right"/>
    </xf>
    <xf numFmtId="168" fontId="119" fillId="0" borderId="21" xfId="0" applyNumberFormat="1" applyFont="1" applyBorder="1" applyAlignment="1">
      <alignment horizontal="right"/>
    </xf>
    <xf numFmtId="168" fontId="78" fillId="0" borderId="16" xfId="18" applyNumberFormat="1" applyFont="1" applyBorder="1" applyAlignment="1">
      <alignment horizontal="right"/>
    </xf>
    <xf numFmtId="167" fontId="29" fillId="0" borderId="16" xfId="0" applyNumberFormat="1" applyFont="1" applyBorder="1" applyAlignment="1">
      <alignment horizontal="right" wrapText="1"/>
    </xf>
    <xf numFmtId="0" fontId="58" fillId="10" borderId="16" xfId="0" applyFont="1" applyFill="1" applyBorder="1" applyAlignment="1">
      <alignment horizontal="left" wrapText="1"/>
    </xf>
    <xf numFmtId="0" fontId="61" fillId="0" borderId="0" xfId="0" applyFont="1" applyAlignment="1" applyProtection="1">
      <alignment vertical="top"/>
      <protection locked="0"/>
    </xf>
    <xf numFmtId="0" fontId="61" fillId="0" borderId="27" xfId="0" applyFont="1" applyBorder="1" applyAlignment="1" applyProtection="1">
      <alignment vertical="top"/>
      <protection locked="0"/>
    </xf>
    <xf numFmtId="168" fontId="106" fillId="10" borderId="28" xfId="18" applyNumberFormat="1" applyFont="1" applyFill="1" applyBorder="1" applyAlignment="1">
      <alignment horizontal="right"/>
    </xf>
    <xf numFmtId="0" fontId="58" fillId="0" borderId="16" xfId="0" applyFont="1" applyBorder="1" applyAlignment="1">
      <alignment horizontal="left" wrapText="1"/>
    </xf>
    <xf numFmtId="168" fontId="36" fillId="4" borderId="29" xfId="0" applyNumberFormat="1" applyFont="1" applyFill="1" applyBorder="1" applyAlignment="1">
      <alignment wrapText="1"/>
    </xf>
    <xf numFmtId="179" fontId="10" fillId="0" borderId="0" xfId="0" applyNumberFormat="1" applyFont="1"/>
    <xf numFmtId="180" fontId="10" fillId="0" borderId="0" xfId="0" applyNumberFormat="1" applyFont="1"/>
    <xf numFmtId="167" fontId="42" fillId="9" borderId="27" xfId="0" applyNumberFormat="1" applyFont="1" applyFill="1" applyBorder="1" applyAlignment="1">
      <alignment horizontal="right" wrapText="1"/>
    </xf>
    <xf numFmtId="0" fontId="66" fillId="7" borderId="12" xfId="0" applyFont="1" applyFill="1" applyBorder="1" applyAlignment="1" applyProtection="1">
      <alignment vertical="top" wrapText="1"/>
      <protection locked="0"/>
    </xf>
    <xf numFmtId="0" fontId="121" fillId="14" borderId="0" xfId="28" applyFont="1" applyBorder="1" applyAlignment="1" applyProtection="1">
      <alignment horizontal="right" vertical="top" wrapText="1"/>
      <protection locked="0"/>
    </xf>
    <xf numFmtId="0" fontId="121" fillId="0" borderId="0" xfId="28" applyFont="1" applyFill="1" applyBorder="1" applyAlignment="1">
      <alignment horizontal="right"/>
    </xf>
    <xf numFmtId="0" fontId="123" fillId="14" borderId="0" xfId="28" quotePrefix="1" applyFont="1" applyBorder="1" applyAlignment="1" applyProtection="1">
      <alignment horizontal="left" vertical="top" wrapText="1" indent="1"/>
    </xf>
    <xf numFmtId="167" fontId="123" fillId="14" borderId="0" xfId="28" applyNumberFormat="1" applyFont="1" applyBorder="1" applyAlignment="1" applyProtection="1">
      <alignment horizontal="right" vertical="top" wrapText="1" indent="1"/>
    </xf>
    <xf numFmtId="168" fontId="123" fillId="14" borderId="0" xfId="28" applyNumberFormat="1" applyFont="1" applyBorder="1" applyAlignment="1" applyProtection="1">
      <alignment horizontal="right" vertical="top" wrapText="1" indent="1"/>
    </xf>
    <xf numFmtId="165" fontId="121" fillId="14" borderId="0" xfId="28" applyNumberFormat="1" applyFont="1" applyBorder="1" applyAlignment="1" applyProtection="1">
      <alignment horizontal="right" vertical="top" indent="1"/>
    </xf>
    <xf numFmtId="0" fontId="121" fillId="14" borderId="0" xfId="28" applyFont="1" applyBorder="1" applyAlignment="1" applyProtection="1">
      <alignment horizontal="right" vertical="top" indent="1"/>
    </xf>
    <xf numFmtId="0" fontId="122" fillId="14" borderId="12" xfId="28" applyFont="1" applyBorder="1" applyAlignment="1" applyProtection="1">
      <alignment horizontal="left" vertical="top"/>
    </xf>
    <xf numFmtId="168" fontId="106" fillId="10" borderId="0" xfId="18" applyNumberFormat="1" applyFont="1" applyFill="1" applyAlignment="1">
      <alignment horizontal="right"/>
    </xf>
    <xf numFmtId="168" fontId="106" fillId="10" borderId="0" xfId="18" applyNumberFormat="1" applyFont="1" applyFill="1" applyAlignment="1">
      <alignment horizontal="left"/>
    </xf>
    <xf numFmtId="168" fontId="106" fillId="10" borderId="16" xfId="18" applyNumberFormat="1" applyFont="1" applyFill="1" applyBorder="1" applyAlignment="1">
      <alignment horizontal="right"/>
    </xf>
    <xf numFmtId="168" fontId="106" fillId="10" borderId="27" xfId="18" applyNumberFormat="1" applyFont="1" applyFill="1" applyBorder="1" applyAlignment="1">
      <alignment horizontal="left"/>
    </xf>
    <xf numFmtId="168" fontId="119" fillId="0" borderId="21" xfId="0" applyNumberFormat="1" applyFont="1" applyBorder="1"/>
    <xf numFmtId="0" fontId="66" fillId="7" borderId="0" xfId="0" applyFont="1" applyFill="1" applyAlignment="1" applyProtection="1">
      <alignment vertical="top"/>
      <protection locked="0"/>
    </xf>
    <xf numFmtId="0" fontId="58" fillId="10" borderId="0" xfId="0" applyFont="1" applyFill="1" applyAlignment="1">
      <alignment horizontal="left" wrapText="1"/>
    </xf>
    <xf numFmtId="168" fontId="58" fillId="10" borderId="0" xfId="18" applyNumberFormat="1" applyFont="1" applyFill="1" applyAlignment="1">
      <alignment horizontal="right"/>
    </xf>
    <xf numFmtId="168" fontId="58" fillId="10" borderId="27" xfId="18" applyNumberFormat="1" applyFont="1" applyFill="1" applyBorder="1" applyAlignment="1">
      <alignment horizontal="right"/>
    </xf>
    <xf numFmtId="168" fontId="58" fillId="10" borderId="16" xfId="18" applyNumberFormat="1" applyFont="1" applyFill="1" applyBorder="1" applyAlignment="1">
      <alignment horizontal="right"/>
    </xf>
    <xf numFmtId="168" fontId="67" fillId="0" borderId="0" xfId="0" applyNumberFormat="1" applyFont="1" applyAlignment="1">
      <alignment vertical="top"/>
    </xf>
    <xf numFmtId="181" fontId="78" fillId="10" borderId="0" xfId="18" applyNumberFormat="1" applyFont="1" applyFill="1" applyAlignment="1">
      <alignment horizontal="right"/>
    </xf>
    <xf numFmtId="167" fontId="58" fillId="10" borderId="16" xfId="18" applyNumberFormat="1" applyFont="1" applyFill="1" applyBorder="1" applyAlignment="1">
      <alignment horizontal="right"/>
    </xf>
    <xf numFmtId="0" fontId="66" fillId="0" borderId="0" xfId="0" applyFont="1" applyAlignment="1">
      <alignment vertical="top"/>
    </xf>
    <xf numFmtId="0" fontId="66" fillId="0" borderId="0" xfId="0" quotePrefix="1" applyFont="1" applyAlignment="1">
      <alignment horizontal="left" vertical="top" wrapText="1"/>
    </xf>
    <xf numFmtId="167" fontId="66" fillId="0" borderId="0" xfId="0" applyNumberFormat="1" applyFont="1" applyAlignment="1">
      <alignment horizontal="right" vertical="top" wrapText="1"/>
    </xf>
    <xf numFmtId="168" fontId="66" fillId="0" borderId="0" xfId="0" applyNumberFormat="1" applyFont="1" applyAlignment="1">
      <alignment horizontal="right" vertical="top" wrapText="1"/>
    </xf>
    <xf numFmtId="165" fontId="31" fillId="0" borderId="0" xfId="18" applyNumberFormat="1" applyFont="1" applyAlignment="1">
      <alignment horizontal="right" vertical="top"/>
    </xf>
    <xf numFmtId="0" fontId="66" fillId="0" borderId="0" xfId="0" applyFont="1" applyAlignment="1">
      <alignment vertical="top" wrapText="1"/>
    </xf>
    <xf numFmtId="167" fontId="30" fillId="0" borderId="0" xfId="0" quotePrefix="1" applyNumberFormat="1" applyFont="1" applyAlignment="1">
      <alignment horizontal="right" wrapText="1"/>
    </xf>
    <xf numFmtId="166" fontId="36" fillId="0" borderId="0" xfId="0" applyNumberFormat="1" applyFont="1" applyAlignment="1">
      <alignment wrapText="1"/>
    </xf>
    <xf numFmtId="168" fontId="36" fillId="0" borderId="0" xfId="0" applyNumberFormat="1" applyFont="1" applyAlignment="1">
      <alignment wrapText="1"/>
    </xf>
    <xf numFmtId="0" fontId="66" fillId="7" borderId="12" xfId="0" applyFont="1" applyFill="1" applyBorder="1" applyAlignment="1">
      <alignment vertical="top"/>
    </xf>
    <xf numFmtId="0" fontId="10" fillId="0" borderId="0" xfId="0" quotePrefix="1" applyFont="1"/>
    <xf numFmtId="165" fontId="42" fillId="6" borderId="0" xfId="18" applyNumberFormat="1" applyFont="1" applyFill="1" applyAlignment="1" applyProtection="1">
      <alignment horizontal="right" vertical="top"/>
      <protection locked="0"/>
    </xf>
    <xf numFmtId="165" fontId="42" fillId="0" borderId="0" xfId="18" applyNumberFormat="1" applyFont="1" applyAlignment="1" applyProtection="1">
      <alignment horizontal="right" vertical="top"/>
      <protection locked="0"/>
    </xf>
    <xf numFmtId="0" fontId="66" fillId="0" borderId="20" xfId="0" applyFont="1" applyBorder="1" applyAlignment="1" applyProtection="1">
      <alignment vertical="top"/>
      <protection locked="0"/>
    </xf>
    <xf numFmtId="0" fontId="66" fillId="0" borderId="20" xfId="0" applyFont="1" applyBorder="1" applyAlignment="1">
      <alignment vertical="top"/>
    </xf>
    <xf numFmtId="0" fontId="128" fillId="0" borderId="0" xfId="27" applyFont="1" applyProtection="1"/>
    <xf numFmtId="0" fontId="79" fillId="0" borderId="0" xfId="27" quotePrefix="1" applyAlignment="1">
      <alignment wrapText="1"/>
    </xf>
    <xf numFmtId="0" fontId="105" fillId="10" borderId="0" xfId="0" applyFont="1" applyFill="1" applyAlignment="1">
      <alignment horizontal="left" wrapText="1"/>
    </xf>
    <xf numFmtId="168" fontId="78" fillId="10" borderId="0" xfId="34" applyNumberFormat="1" applyFont="1" applyFill="1" applyAlignment="1">
      <alignment horizontal="right"/>
    </xf>
    <xf numFmtId="0" fontId="115" fillId="15" borderId="0" xfId="0" applyFont="1" applyFill="1"/>
    <xf numFmtId="0" fontId="100" fillId="15" borderId="0" xfId="27" applyFont="1" applyFill="1" applyProtection="1"/>
    <xf numFmtId="0" fontId="81" fillId="15" borderId="0" xfId="0" applyFont="1" applyFill="1"/>
    <xf numFmtId="0" fontId="101" fillId="15" borderId="0" xfId="0" applyFont="1" applyFill="1" applyAlignment="1">
      <alignment wrapText="1"/>
    </xf>
    <xf numFmtId="0" fontId="0" fillId="15" borderId="0" xfId="0" applyFill="1"/>
    <xf numFmtId="166" fontId="130" fillId="0" borderId="0" xfId="0" quotePrefix="1" applyNumberFormat="1" applyFont="1" applyAlignment="1">
      <alignment vertical="top" wrapText="1"/>
    </xf>
    <xf numFmtId="177" fontId="131" fillId="0" borderId="0" xfId="0" applyNumberFormat="1" applyFont="1" applyAlignment="1">
      <alignment horizontal="right" vertical="top"/>
    </xf>
    <xf numFmtId="177" fontId="131" fillId="0" borderId="0" xfId="0" applyNumberFormat="1" applyFont="1" applyAlignment="1" applyProtection="1">
      <alignment horizontal="right" vertical="top"/>
      <protection locked="0"/>
    </xf>
    <xf numFmtId="0" fontId="38" fillId="0" borderId="0" xfId="0" applyFont="1" applyAlignment="1">
      <alignment horizontal="left" vertical="top" wrapText="1"/>
    </xf>
    <xf numFmtId="0" fontId="36" fillId="0" borderId="0" xfId="0" applyFont="1"/>
    <xf numFmtId="0" fontId="0" fillId="16" borderId="39" xfId="0" applyFill="1" applyBorder="1"/>
    <xf numFmtId="0" fontId="0" fillId="16" borderId="18" xfId="0" applyFill="1" applyBorder="1"/>
    <xf numFmtId="0" fontId="0" fillId="17" borderId="0" xfId="0" applyFill="1"/>
    <xf numFmtId="0" fontId="10" fillId="17" borderId="0" xfId="0" applyFont="1" applyFill="1"/>
    <xf numFmtId="0" fontId="27" fillId="16" borderId="7" xfId="0" applyFont="1" applyFill="1" applyBorder="1" applyAlignment="1">
      <alignment vertical="center" wrapText="1"/>
    </xf>
    <xf numFmtId="0" fontId="27" fillId="16" borderId="6" xfId="0" applyFont="1" applyFill="1" applyBorder="1" applyAlignment="1">
      <alignment vertical="center" wrapText="1"/>
    </xf>
    <xf numFmtId="0" fontId="27" fillId="16" borderId="0" xfId="0" applyFont="1" applyFill="1" applyAlignment="1">
      <alignment vertical="center" wrapText="1"/>
    </xf>
    <xf numFmtId="0" fontId="10" fillId="2" borderId="0" xfId="0" applyFont="1" applyFill="1"/>
    <xf numFmtId="0" fontId="95" fillId="0" borderId="0" xfId="0" applyFont="1"/>
    <xf numFmtId="0" fontId="96" fillId="12" borderId="4" xfId="0" applyFont="1" applyFill="1" applyBorder="1" applyAlignment="1">
      <alignment horizontal="left" wrapText="1"/>
    </xf>
    <xf numFmtId="0" fontId="97" fillId="12" borderId="4" xfId="0" applyFont="1" applyFill="1" applyBorder="1" applyAlignment="1">
      <alignment horizontal="right" vertical="center" wrapText="1"/>
    </xf>
    <xf numFmtId="164" fontId="98" fillId="0" borderId="0" xfId="0" applyNumberFormat="1" applyFont="1" applyAlignment="1">
      <alignment horizontal="right" vertical="center" wrapText="1"/>
    </xf>
    <xf numFmtId="3" fontId="98" fillId="0" borderId="0" xfId="0" applyNumberFormat="1" applyFont="1" applyAlignment="1">
      <alignment horizontal="right" vertical="center" wrapText="1"/>
    </xf>
    <xf numFmtId="3" fontId="98" fillId="0" borderId="0" xfId="0" applyNumberFormat="1" applyFont="1" applyAlignment="1">
      <alignment horizontal="right" vertical="center"/>
    </xf>
    <xf numFmtId="0" fontId="9" fillId="0" borderId="0" xfId="0" applyFont="1" applyAlignment="1">
      <alignment vertical="top"/>
    </xf>
    <xf numFmtId="0" fontId="26" fillId="0" borderId="0" xfId="0" applyFont="1" applyAlignment="1">
      <alignment horizontal="left" wrapText="1"/>
    </xf>
    <xf numFmtId="0" fontId="22" fillId="0" borderId="0" xfId="0" applyFont="1" applyAlignment="1">
      <alignment horizontal="left" wrapText="1"/>
    </xf>
    <xf numFmtId="0" fontId="23" fillId="0" borderId="0" xfId="0" applyFont="1" applyAlignment="1">
      <alignment horizontal="right" vertical="center" wrapText="1"/>
    </xf>
    <xf numFmtId="0" fontId="12" fillId="4" borderId="3" xfId="0" applyFont="1" applyFill="1" applyBorder="1" applyAlignment="1">
      <alignment horizontal="left" wrapText="1"/>
    </xf>
    <xf numFmtId="0" fontId="12" fillId="0" borderId="0" xfId="0" applyFont="1" applyAlignment="1">
      <alignment horizontal="left" wrapText="1"/>
    </xf>
    <xf numFmtId="0" fontId="12" fillId="0" borderId="0" xfId="0" applyFont="1" applyAlignment="1">
      <alignment horizontal="right" wrapText="1"/>
    </xf>
    <xf numFmtId="0" fontId="21" fillId="0" borderId="0" xfId="0" applyFont="1" applyAlignment="1">
      <alignment horizontal="right" vertical="center" wrapText="1"/>
    </xf>
    <xf numFmtId="0" fontId="21" fillId="0" borderId="0" xfId="0" applyFont="1" applyAlignment="1">
      <alignment horizontal="right" wrapText="1"/>
    </xf>
    <xf numFmtId="0" fontId="45" fillId="0" borderId="0" xfId="0" applyFont="1" applyAlignment="1">
      <alignment horizontal="right" wrapText="1"/>
    </xf>
    <xf numFmtId="0" fontId="83" fillId="0" borderId="0" xfId="0" applyFont="1" applyAlignment="1">
      <alignment horizontal="left" wrapText="1"/>
    </xf>
    <xf numFmtId="167" fontId="25" fillId="0" borderId="0" xfId="0" applyNumberFormat="1" applyFont="1" applyAlignment="1">
      <alignment horizontal="right" wrapText="1"/>
    </xf>
    <xf numFmtId="168" fontId="25" fillId="0" borderId="0" xfId="0" applyNumberFormat="1" applyFont="1" applyAlignment="1">
      <alignment horizontal="right" wrapText="1"/>
    </xf>
    <xf numFmtId="0" fontId="25" fillId="0" borderId="0" xfId="0" applyFont="1"/>
    <xf numFmtId="0" fontId="24" fillId="0" borderId="0" xfId="0" applyFont="1" applyAlignment="1">
      <alignment horizontal="right" vertical="center" wrapText="1"/>
    </xf>
    <xf numFmtId="0" fontId="24" fillId="0" borderId="0" xfId="0" applyFont="1" applyAlignment="1">
      <alignment horizontal="left" wrapText="1"/>
    </xf>
    <xf numFmtId="168" fontId="24" fillId="0" borderId="0" xfId="0" applyNumberFormat="1" applyFont="1" applyAlignment="1">
      <alignment horizontal="right" wrapText="1"/>
    </xf>
    <xf numFmtId="164" fontId="24" fillId="0" borderId="0" xfId="0" applyNumberFormat="1" applyFont="1" applyAlignment="1">
      <alignment horizontal="right" vertical="center" wrapText="1"/>
    </xf>
    <xf numFmtId="167" fontId="24" fillId="0" borderId="19" xfId="0" applyNumberFormat="1" applyFont="1" applyBorder="1" applyAlignment="1">
      <alignment horizontal="right" wrapText="1"/>
    </xf>
    <xf numFmtId="167" fontId="84" fillId="0" borderId="19" xfId="0" applyNumberFormat="1" applyFont="1" applyBorder="1" applyAlignment="1">
      <alignment horizontal="right" wrapText="1"/>
    </xf>
    <xf numFmtId="164" fontId="25" fillId="0" borderId="0" xfId="0" applyNumberFormat="1" applyFont="1" applyAlignment="1">
      <alignment horizontal="right" vertical="center" wrapText="1"/>
    </xf>
    <xf numFmtId="0" fontId="25" fillId="0" borderId="0" xfId="0" applyFont="1" applyAlignment="1">
      <alignment horizontal="left" wrapText="1"/>
    </xf>
    <xf numFmtId="0" fontId="86" fillId="0" borderId="0" xfId="0" applyFont="1" applyAlignment="1">
      <alignment horizontal="left" wrapText="1"/>
    </xf>
    <xf numFmtId="167" fontId="86" fillId="0" borderId="0" xfId="0" applyNumberFormat="1" applyFont="1" applyAlignment="1">
      <alignment horizontal="right" wrapText="1"/>
    </xf>
    <xf numFmtId="0" fontId="107" fillId="0" borderId="0" xfId="0" applyFont="1"/>
    <xf numFmtId="165" fontId="25" fillId="0" borderId="0" xfId="0" applyNumberFormat="1" applyFont="1" applyAlignment="1">
      <alignment horizontal="right" vertical="center" wrapText="1"/>
    </xf>
    <xf numFmtId="168" fontId="83" fillId="0" borderId="19" xfId="0" applyNumberFormat="1" applyFont="1" applyBorder="1" applyAlignment="1">
      <alignment horizontal="right" wrapText="1"/>
    </xf>
    <xf numFmtId="167" fontId="85" fillId="0" borderId="19" xfId="0" applyNumberFormat="1" applyFont="1" applyBorder="1" applyAlignment="1">
      <alignment horizontal="right" wrapText="1"/>
    </xf>
    <xf numFmtId="165" fontId="24" fillId="0" borderId="0" xfId="0" applyNumberFormat="1" applyFont="1" applyAlignment="1">
      <alignment horizontal="right" vertical="center" wrapText="1"/>
    </xf>
    <xf numFmtId="0" fontId="84" fillId="0" borderId="0" xfId="0" applyFont="1" applyAlignment="1">
      <alignment horizontal="left" wrapText="1"/>
    </xf>
    <xf numFmtId="0" fontId="48" fillId="0" borderId="0" xfId="0" applyFont="1" applyAlignment="1">
      <alignment horizontal="left" wrapText="1"/>
    </xf>
    <xf numFmtId="167" fontId="48" fillId="0" borderId="0" xfId="0" applyNumberFormat="1" applyFont="1" applyAlignment="1">
      <alignment horizontal="right" wrapText="1"/>
    </xf>
    <xf numFmtId="167" fontId="51" fillId="0" borderId="0" xfId="0" applyNumberFormat="1" applyFont="1" applyAlignment="1">
      <alignment horizontal="right" wrapText="1"/>
    </xf>
    <xf numFmtId="0" fontId="51" fillId="0" borderId="0" xfId="0" applyFont="1"/>
    <xf numFmtId="0" fontId="29" fillId="0" borderId="0" xfId="0" applyFont="1" applyAlignment="1">
      <alignment horizontal="left" wrapText="1"/>
    </xf>
    <xf numFmtId="168" fontId="29" fillId="0" borderId="0" xfId="0" applyNumberFormat="1" applyFont="1" applyAlignment="1">
      <alignment horizontal="right" wrapText="1"/>
    </xf>
    <xf numFmtId="167" fontId="29" fillId="0" borderId="0" xfId="0" applyNumberFormat="1" applyFont="1" applyAlignment="1">
      <alignment horizontal="right" wrapText="1"/>
    </xf>
    <xf numFmtId="0" fontId="31" fillId="0" borderId="0" xfId="0" applyFont="1" applyAlignment="1">
      <alignment horizontal="left" wrapText="1"/>
    </xf>
    <xf numFmtId="167" fontId="31" fillId="0" borderId="0" xfId="0" applyNumberFormat="1" applyFont="1" applyAlignment="1">
      <alignment horizontal="right" wrapText="1"/>
    </xf>
    <xf numFmtId="0" fontId="87" fillId="0" borderId="0" xfId="0" applyFont="1"/>
    <xf numFmtId="0" fontId="29" fillId="0" borderId="0" xfId="0" applyFont="1" applyAlignment="1">
      <alignment wrapText="1"/>
    </xf>
    <xf numFmtId="167" fontId="30" fillId="0" borderId="0" xfId="0" applyNumberFormat="1" applyFont="1" applyAlignment="1">
      <alignment horizontal="right" vertical="center" wrapText="1"/>
    </xf>
    <xf numFmtId="168" fontId="29" fillId="0" borderId="0" xfId="0" applyNumberFormat="1" applyFont="1" applyAlignment="1">
      <alignment horizontal="right" vertical="center" wrapText="1"/>
    </xf>
    <xf numFmtId="0" fontId="28" fillId="0" borderId="0" xfId="0" applyFont="1" applyAlignment="1">
      <alignment horizontal="left" wrapText="1"/>
    </xf>
    <xf numFmtId="168" fontId="28" fillId="0" borderId="27" xfId="0" applyNumberFormat="1" applyFont="1" applyBorder="1" applyAlignment="1">
      <alignment horizontal="right" wrapText="1"/>
    </xf>
    <xf numFmtId="0" fontId="46" fillId="0" borderId="27" xfId="0" applyFont="1" applyBorder="1"/>
    <xf numFmtId="168" fontId="28" fillId="0" borderId="0" xfId="0" applyNumberFormat="1" applyFont="1" applyAlignment="1">
      <alignment horizontal="right" wrapText="1"/>
    </xf>
    <xf numFmtId="168" fontId="51" fillId="0" borderId="8" xfId="0" applyNumberFormat="1" applyFont="1" applyBorder="1" applyAlignment="1">
      <alignment horizontal="right" wrapText="1"/>
    </xf>
    <xf numFmtId="167" fontId="52" fillId="0" borderId="8" xfId="0" applyNumberFormat="1" applyFont="1" applyBorder="1" applyAlignment="1">
      <alignment horizontal="right" wrapText="1"/>
    </xf>
    <xf numFmtId="0" fontId="13" fillId="0" borderId="0" xfId="0" applyFont="1" applyAlignment="1">
      <alignment horizontal="left" wrapText="1"/>
    </xf>
    <xf numFmtId="167" fontId="13" fillId="0" borderId="0" xfId="0" applyNumberFormat="1" applyFont="1" applyAlignment="1">
      <alignment horizontal="right" wrapText="1"/>
    </xf>
    <xf numFmtId="167" fontId="14" fillId="0" borderId="0" xfId="0" applyNumberFormat="1" applyFont="1" applyAlignment="1">
      <alignment horizontal="right" wrapText="1"/>
    </xf>
    <xf numFmtId="0" fontId="32" fillId="0" borderId="0" xfId="0" applyFont="1"/>
    <xf numFmtId="0" fontId="49" fillId="0" borderId="24" xfId="0" applyFont="1" applyBorder="1" applyAlignment="1">
      <alignment horizontal="left" wrapText="1"/>
    </xf>
    <xf numFmtId="168" fontId="49" fillId="0" borderId="24" xfId="0" applyNumberFormat="1" applyFont="1" applyBorder="1" applyAlignment="1">
      <alignment horizontal="right" wrapText="1"/>
    </xf>
    <xf numFmtId="0" fontId="49" fillId="0" borderId="24" xfId="0" applyFont="1" applyBorder="1"/>
    <xf numFmtId="167" fontId="116" fillId="0" borderId="23" xfId="0" applyNumberFormat="1" applyFont="1" applyBorder="1" applyAlignment="1">
      <alignment horizontal="right" wrapText="1"/>
    </xf>
    <xf numFmtId="0" fontId="49" fillId="0" borderId="23" xfId="0" applyFont="1" applyBorder="1"/>
    <xf numFmtId="0" fontId="49" fillId="0" borderId="0" xfId="0" applyFont="1" applyAlignment="1">
      <alignment horizontal="left" wrapText="1"/>
    </xf>
    <xf numFmtId="167" fontId="49" fillId="0" borderId="0" xfId="0" applyNumberFormat="1" applyFont="1" applyAlignment="1">
      <alignment horizontal="right" wrapText="1"/>
    </xf>
    <xf numFmtId="0" fontId="49" fillId="0" borderId="0" xfId="0" applyFont="1"/>
    <xf numFmtId="3" fontId="25" fillId="0" borderId="0" xfId="0" applyNumberFormat="1" applyFont="1" applyAlignment="1">
      <alignment horizontal="right" vertical="center" wrapText="1"/>
    </xf>
    <xf numFmtId="166" fontId="32" fillId="0" borderId="0" xfId="0" applyNumberFormat="1" applyFont="1" applyAlignment="1">
      <alignment wrapText="1"/>
    </xf>
    <xf numFmtId="166" fontId="49" fillId="0" borderId="0" xfId="0" applyNumberFormat="1" applyFont="1" applyAlignment="1">
      <alignment wrapText="1"/>
    </xf>
    <xf numFmtId="167" fontId="49" fillId="0" borderId="0" xfId="0" applyNumberFormat="1" applyFont="1" applyAlignment="1">
      <alignment wrapText="1"/>
    </xf>
    <xf numFmtId="3" fontId="47" fillId="0" borderId="0" xfId="0" applyNumberFormat="1" applyFont="1" applyAlignment="1">
      <alignment horizontal="right" vertical="center" wrapText="1"/>
    </xf>
    <xf numFmtId="167" fontId="32" fillId="0" borderId="0" xfId="0" applyNumberFormat="1" applyFont="1" applyAlignment="1">
      <alignment horizontal="right" vertical="center" wrapText="1"/>
    </xf>
    <xf numFmtId="166" fontId="49" fillId="4" borderId="0" xfId="0" applyNumberFormat="1" applyFont="1" applyFill="1" applyAlignment="1">
      <alignment wrapText="1"/>
    </xf>
    <xf numFmtId="168" fontId="49" fillId="4" borderId="0" xfId="0" applyNumberFormat="1" applyFont="1" applyFill="1" applyAlignment="1">
      <alignment wrapText="1"/>
    </xf>
    <xf numFmtId="167" fontId="116" fillId="4" borderId="0" xfId="0" applyNumberFormat="1" applyFont="1" applyFill="1" applyAlignment="1">
      <alignment wrapText="1"/>
    </xf>
    <xf numFmtId="166" fontId="11" fillId="0" borderId="0" xfId="0" applyNumberFormat="1" applyFont="1" applyAlignment="1">
      <alignment horizontal="left" vertical="top" wrapText="1"/>
    </xf>
    <xf numFmtId="0" fontId="36" fillId="0" borderId="0" xfId="0" applyFont="1" applyAlignment="1">
      <alignment wrapText="1"/>
    </xf>
    <xf numFmtId="167" fontId="88" fillId="0" borderId="0" xfId="0" applyNumberFormat="1" applyFont="1" applyAlignment="1">
      <alignment horizontal="right"/>
    </xf>
    <xf numFmtId="168" fontId="36" fillId="0" borderId="0" xfId="0" applyNumberFormat="1" applyFont="1" applyAlignment="1">
      <alignment horizontal="right"/>
    </xf>
    <xf numFmtId="0" fontId="88" fillId="0" borderId="0" xfId="0" applyFont="1" applyAlignment="1">
      <alignment horizontal="left"/>
    </xf>
    <xf numFmtId="0" fontId="88" fillId="0" borderId="42" xfId="0" applyFont="1" applyBorder="1" applyAlignment="1">
      <alignment horizontal="left"/>
    </xf>
    <xf numFmtId="167" fontId="88" fillId="0" borderId="42" xfId="0" applyNumberFormat="1" applyFont="1" applyBorder="1" applyAlignment="1">
      <alignment horizontal="right"/>
    </xf>
    <xf numFmtId="167" fontId="36" fillId="0" borderId="0" xfId="0" applyNumberFormat="1" applyFont="1" applyAlignment="1">
      <alignment horizontal="right"/>
    </xf>
    <xf numFmtId="167" fontId="39" fillId="0" borderId="0" xfId="0" applyNumberFormat="1" applyFont="1" applyAlignment="1">
      <alignment horizontal="right"/>
    </xf>
    <xf numFmtId="0" fontId="33" fillId="0" borderId="0" xfId="0" applyFont="1" applyAlignment="1">
      <alignment wrapText="1"/>
    </xf>
    <xf numFmtId="0" fontId="35" fillId="0" borderId="0" xfId="0" applyFont="1" applyAlignment="1">
      <alignment horizontal="left" vertical="top" wrapText="1"/>
    </xf>
    <xf numFmtId="0" fontId="35" fillId="0" borderId="0" xfId="0" applyFont="1" applyAlignment="1">
      <alignment vertical="top" wrapText="1"/>
    </xf>
    <xf numFmtId="0" fontId="0" fillId="0" borderId="0" xfId="0" applyAlignment="1">
      <alignment vertical="top"/>
    </xf>
    <xf numFmtId="0" fontId="101" fillId="0" borderId="0" xfId="0" applyFont="1" applyAlignment="1">
      <alignment wrapText="1"/>
    </xf>
    <xf numFmtId="0" fontId="33" fillId="0" borderId="0" xfId="0" applyFont="1" applyAlignment="1">
      <alignment horizontal="left" wrapText="1"/>
    </xf>
    <xf numFmtId="0" fontId="54" fillId="8" borderId="13" xfId="0" applyFont="1" applyFill="1" applyBorder="1" applyAlignment="1">
      <alignment vertical="center"/>
    </xf>
    <xf numFmtId="0" fontId="102" fillId="5" borderId="0" xfId="0" applyFont="1" applyFill="1" applyAlignment="1">
      <alignment vertical="center"/>
    </xf>
    <xf numFmtId="166" fontId="39" fillId="0" borderId="37" xfId="0" applyNumberFormat="1" applyFont="1" applyBorder="1" applyAlignment="1">
      <alignment wrapText="1"/>
    </xf>
    <xf numFmtId="0" fontId="11" fillId="0" borderId="37" xfId="0" applyFont="1" applyBorder="1"/>
    <xf numFmtId="166" fontId="36" fillId="0" borderId="0" xfId="0" applyNumberFormat="1" applyFont="1" applyAlignment="1">
      <alignment horizontal="left" wrapText="1"/>
    </xf>
    <xf numFmtId="166" fontId="39" fillId="4" borderId="35" xfId="0" applyNumberFormat="1" applyFont="1" applyFill="1" applyBorder="1" applyAlignment="1">
      <alignment wrapText="1"/>
    </xf>
    <xf numFmtId="168" fontId="39" fillId="4" borderId="35" xfId="0" applyNumberFormat="1" applyFont="1" applyFill="1" applyBorder="1" applyAlignment="1">
      <alignment wrapText="1"/>
    </xf>
    <xf numFmtId="168" fontId="37" fillId="4" borderId="35" xfId="0" applyNumberFormat="1" applyFont="1" applyFill="1" applyBorder="1" applyAlignment="1">
      <alignment wrapText="1"/>
    </xf>
    <xf numFmtId="0" fontId="0" fillId="0" borderId="0" xfId="0" quotePrefix="1"/>
    <xf numFmtId="0" fontId="134" fillId="16" borderId="18" xfId="0" applyFont="1" applyFill="1" applyBorder="1" applyAlignment="1">
      <alignment horizontal="center" vertical="center" wrapText="1"/>
    </xf>
    <xf numFmtId="0" fontId="134" fillId="16" borderId="40" xfId="0" applyFont="1" applyFill="1" applyBorder="1" applyAlignment="1">
      <alignment horizontal="center" vertical="center" wrapText="1"/>
    </xf>
    <xf numFmtId="0" fontId="129" fillId="2" borderId="0" xfId="0" applyFont="1" applyFill="1" applyAlignment="1">
      <alignment horizontal="center" vertical="center" wrapText="1"/>
    </xf>
    <xf numFmtId="0" fontId="81" fillId="0" borderId="0" xfId="0" applyFont="1" applyAlignment="1">
      <alignment horizontal="left" wrapText="1"/>
    </xf>
    <xf numFmtId="0" fontId="114" fillId="0" borderId="0" xfId="0" applyFont="1" applyAlignment="1">
      <alignment horizontal="left"/>
    </xf>
    <xf numFmtId="0" fontId="114" fillId="15" borderId="0" xfId="0" applyFont="1" applyFill="1" applyAlignment="1">
      <alignment horizontal="left"/>
    </xf>
    <xf numFmtId="0" fontId="82" fillId="0" borderId="0" xfId="0" applyFont="1"/>
    <xf numFmtId="0" fontId="128" fillId="0" borderId="0" xfId="27" applyFont="1" applyProtection="1"/>
    <xf numFmtId="0" fontId="80" fillId="0" borderId="0" xfId="0" applyFont="1"/>
    <xf numFmtId="0" fontId="80" fillId="0" borderId="0" xfId="0" applyFont="1" applyAlignment="1">
      <alignment wrapText="1"/>
    </xf>
    <xf numFmtId="0" fontId="81" fillId="0" borderId="0" xfId="0" applyFont="1"/>
    <xf numFmtId="0" fontId="22" fillId="0" borderId="0" xfId="0" applyFont="1" applyAlignment="1">
      <alignment vertical="top" wrapText="1"/>
    </xf>
    <xf numFmtId="0" fontId="133" fillId="15" borderId="0" xfId="0" applyFont="1" applyFill="1" applyAlignment="1">
      <alignment wrapText="1"/>
    </xf>
    <xf numFmtId="0" fontId="100" fillId="15" borderId="0" xfId="27" applyFont="1" applyFill="1" applyProtection="1"/>
    <xf numFmtId="0" fontId="81" fillId="15" borderId="0" xfId="0" applyFont="1" applyFill="1" applyAlignment="1">
      <alignment horizontal="left" wrapText="1"/>
    </xf>
    <xf numFmtId="0" fontId="0" fillId="15" borderId="0" xfId="0" applyFill="1"/>
    <xf numFmtId="0" fontId="27" fillId="16" borderId="0" xfId="0" applyFont="1" applyFill="1" applyAlignment="1">
      <alignment horizontal="center" vertical="center" wrapText="1"/>
    </xf>
    <xf numFmtId="0" fontId="95" fillId="0" borderId="0" xfId="0" applyFont="1" applyAlignment="1">
      <alignment horizontal="left" wrapText="1"/>
    </xf>
    <xf numFmtId="0" fontId="97" fillId="11" borderId="0" xfId="0" applyFont="1" applyFill="1" applyAlignment="1">
      <alignment horizontal="left" vertical="center" wrapText="1"/>
    </xf>
    <xf numFmtId="0" fontId="98" fillId="0" borderId="0" xfId="0" applyFont="1" applyAlignment="1">
      <alignment horizontal="left" vertical="center" wrapText="1"/>
    </xf>
    <xf numFmtId="0" fontId="132" fillId="2" borderId="0" xfId="0" applyFont="1" applyFill="1" applyAlignment="1">
      <alignment horizontal="left"/>
    </xf>
    <xf numFmtId="0" fontId="94" fillId="0" borderId="0" xfId="0" applyFont="1" applyAlignment="1">
      <alignment horizontal="left" wrapText="1"/>
    </xf>
    <xf numFmtId="0" fontId="99" fillId="0" borderId="41" xfId="0" applyFont="1" applyBorder="1" applyAlignment="1">
      <alignment horizontal="left" vertical="top" wrapText="1"/>
    </xf>
    <xf numFmtId="0" fontId="99" fillId="0" borderId="0" xfId="0" applyFont="1" applyAlignment="1">
      <alignment horizontal="left" vertical="top" wrapText="1"/>
    </xf>
    <xf numFmtId="0" fontId="27" fillId="16" borderId="6" xfId="0" applyFont="1" applyFill="1" applyBorder="1" applyAlignment="1">
      <alignment horizontal="center" vertical="center" wrapText="1"/>
    </xf>
    <xf numFmtId="0" fontId="27" fillId="16" borderId="5" xfId="0" applyFont="1" applyFill="1" applyBorder="1" applyAlignment="1">
      <alignment horizontal="center" vertical="center" wrapText="1"/>
    </xf>
    <xf numFmtId="0" fontId="19" fillId="0" borderId="0" xfId="0" applyFont="1" applyAlignment="1">
      <alignment horizontal="left" wrapText="1"/>
    </xf>
    <xf numFmtId="0" fontId="20" fillId="0" borderId="0" xfId="0" applyFont="1"/>
    <xf numFmtId="0" fontId="9" fillId="0" borderId="0" xfId="0" applyFont="1" applyAlignment="1">
      <alignment horizontal="left" wrapText="1"/>
    </xf>
    <xf numFmtId="0" fontId="10" fillId="0" borderId="0" xfId="0" applyFont="1"/>
    <xf numFmtId="166" fontId="11" fillId="0" borderId="3" xfId="0" applyNumberFormat="1" applyFont="1" applyBorder="1" applyAlignment="1">
      <alignment horizontal="left" vertical="top" wrapText="1"/>
    </xf>
    <xf numFmtId="0" fontId="9" fillId="0" borderId="0" xfId="0" applyFont="1" applyAlignment="1">
      <alignment vertical="top"/>
    </xf>
    <xf numFmtId="0" fontId="10" fillId="0" borderId="0" xfId="0" applyFont="1" applyAlignment="1">
      <alignment horizontal="left" wrapText="1"/>
    </xf>
    <xf numFmtId="0" fontId="10" fillId="0" borderId="0" xfId="0" applyFont="1" applyAlignment="1">
      <alignment vertical="top" wrapText="1"/>
    </xf>
    <xf numFmtId="0" fontId="0" fillId="0" borderId="0" xfId="0" applyAlignment="1">
      <alignment vertical="top" wrapText="1"/>
    </xf>
    <xf numFmtId="166" fontId="79" fillId="0" borderId="0" xfId="27" applyNumberFormat="1" applyFill="1" applyBorder="1" applyAlignment="1" applyProtection="1">
      <alignment horizontal="left" vertical="top" wrapText="1"/>
    </xf>
    <xf numFmtId="166" fontId="79" fillId="0" borderId="0" xfId="27" applyNumberFormat="1" applyAlignment="1" applyProtection="1">
      <alignment horizontal="left" vertical="top" wrapText="1"/>
    </xf>
    <xf numFmtId="0" fontId="35" fillId="0" borderId="0" xfId="0" applyFont="1" applyAlignment="1">
      <alignment horizontal="left" vertical="top" wrapText="1"/>
    </xf>
    <xf numFmtId="0" fontId="33" fillId="0" borderId="0" xfId="0" applyFont="1" applyAlignment="1">
      <alignment horizontal="left" wrapText="1"/>
    </xf>
    <xf numFmtId="0" fontId="33" fillId="0" borderId="31" xfId="0" applyFont="1" applyBorder="1" applyAlignment="1">
      <alignment horizontal="center" wrapText="1"/>
    </xf>
    <xf numFmtId="0" fontId="33" fillId="0" borderId="32" xfId="0" applyFont="1" applyBorder="1" applyAlignment="1">
      <alignment horizontal="center" wrapText="1"/>
    </xf>
    <xf numFmtId="0" fontId="33" fillId="0" borderId="33" xfId="0" applyFont="1" applyBorder="1" applyAlignment="1">
      <alignment horizontal="center" wrapText="1"/>
    </xf>
    <xf numFmtId="0" fontId="35" fillId="0" borderId="31" xfId="0" applyFont="1" applyBorder="1" applyAlignment="1">
      <alignment horizontal="left" vertical="top" wrapText="1"/>
    </xf>
    <xf numFmtId="0" fontId="35" fillId="0" borderId="32" xfId="0" applyFont="1" applyBorder="1" applyAlignment="1">
      <alignment horizontal="left" vertical="top" wrapText="1"/>
    </xf>
    <xf numFmtId="0" fontId="35" fillId="0" borderId="33" xfId="0" applyFont="1" applyBorder="1" applyAlignment="1">
      <alignment horizontal="left" vertical="top" wrapText="1"/>
    </xf>
    <xf numFmtId="0" fontId="33" fillId="0" borderId="0" xfId="0" applyFont="1" applyAlignment="1">
      <alignment horizontal="left" vertical="top" wrapText="1"/>
    </xf>
    <xf numFmtId="0" fontId="35" fillId="0" borderId="0" xfId="0" applyFont="1" applyAlignment="1">
      <alignment horizontal="right" vertical="top" wrapText="1"/>
    </xf>
    <xf numFmtId="0" fontId="35" fillId="0" borderId="35" xfId="0" applyFont="1" applyBorder="1" applyAlignment="1">
      <alignment horizontal="left" vertical="top" wrapText="1"/>
    </xf>
    <xf numFmtId="0" fontId="35" fillId="0" borderId="35" xfId="0" applyFont="1" applyBorder="1" applyAlignment="1">
      <alignment horizontal="right" vertical="top" wrapText="1"/>
    </xf>
    <xf numFmtId="0" fontId="38" fillId="0" borderId="36" xfId="0" applyFont="1" applyBorder="1" applyAlignment="1">
      <alignment horizontal="left" vertical="top" wrapText="1"/>
    </xf>
    <xf numFmtId="0" fontId="56" fillId="0" borderId="34" xfId="0" applyFont="1" applyBorder="1" applyAlignment="1">
      <alignment horizontal="left" vertical="top" wrapText="1"/>
    </xf>
    <xf numFmtId="0" fontId="35" fillId="0" borderId="34" xfId="0" applyFont="1" applyBorder="1" applyAlignment="1">
      <alignment horizontal="left" vertical="top" wrapText="1"/>
    </xf>
    <xf numFmtId="0" fontId="35" fillId="0" borderId="34" xfId="0" applyFont="1" applyBorder="1" applyAlignment="1">
      <alignment horizontal="right" vertical="top" wrapText="1"/>
    </xf>
    <xf numFmtId="49" fontId="35" fillId="0" borderId="0" xfId="0" applyNumberFormat="1" applyFont="1" applyAlignment="1">
      <alignment horizontal="center" vertical="top" wrapText="1"/>
    </xf>
    <xf numFmtId="0" fontId="56" fillId="0" borderId="34" xfId="0" applyFont="1" applyBorder="1" applyAlignment="1">
      <alignment horizontal="center" vertical="top" wrapText="1"/>
    </xf>
    <xf numFmtId="0" fontId="35" fillId="0" borderId="34" xfId="0" applyFont="1" applyBorder="1" applyAlignment="1">
      <alignment horizontal="center" vertical="top" wrapText="1"/>
    </xf>
    <xf numFmtId="0" fontId="35" fillId="0" borderId="37" xfId="0" applyFont="1" applyBorder="1" applyAlignment="1">
      <alignment horizontal="left" vertical="top" wrapText="1"/>
    </xf>
    <xf numFmtId="49" fontId="35" fillId="0" borderId="0" xfId="0" applyNumberFormat="1" applyFont="1" applyAlignment="1">
      <alignment horizontal="left" vertical="top" wrapText="1"/>
    </xf>
    <xf numFmtId="0" fontId="56" fillId="0" borderId="37" xfId="0" applyFont="1" applyBorder="1" applyAlignment="1">
      <alignment horizontal="left" vertical="top" wrapText="1"/>
    </xf>
    <xf numFmtId="49" fontId="56" fillId="0" borderId="0" xfId="0" applyNumberFormat="1" applyFont="1" applyAlignment="1">
      <alignment horizontal="left" vertical="top" wrapText="1"/>
    </xf>
    <xf numFmtId="0" fontId="56" fillId="0" borderId="0" xfId="0" applyFont="1" applyAlignment="1">
      <alignment horizontal="left" vertical="top" wrapText="1"/>
    </xf>
    <xf numFmtId="0" fontId="33" fillId="0" borderId="0" xfId="0" applyFont="1" applyAlignment="1">
      <alignment horizontal="left" vertical="center" wrapText="1"/>
    </xf>
    <xf numFmtId="0" fontId="118" fillId="0" borderId="0" xfId="0" applyFont="1" applyAlignment="1">
      <alignment horizontal="left" wrapText="1"/>
    </xf>
    <xf numFmtId="0" fontId="38" fillId="0" borderId="0" xfId="0" applyFont="1" applyAlignment="1">
      <alignment horizontal="left" vertical="top" wrapText="1"/>
    </xf>
    <xf numFmtId="0" fontId="35" fillId="0" borderId="0" xfId="0" applyFont="1" applyAlignment="1">
      <alignment horizontal="left" wrapText="1"/>
    </xf>
    <xf numFmtId="0" fontId="36" fillId="0" borderId="0" xfId="0" applyFont="1"/>
    <xf numFmtId="0" fontId="38" fillId="0" borderId="11" xfId="0" applyFont="1" applyBorder="1" applyAlignment="1">
      <alignment horizontal="left" vertical="top" wrapText="1"/>
    </xf>
    <xf numFmtId="166" fontId="77" fillId="0" borderId="11" xfId="0" applyNumberFormat="1" applyFont="1" applyBorder="1" applyAlignment="1">
      <alignment horizontal="left" vertical="top" wrapText="1"/>
    </xf>
    <xf numFmtId="0" fontId="34" fillId="0" borderId="0" xfId="0" applyFont="1"/>
    <xf numFmtId="166" fontId="77" fillId="0" borderId="0" xfId="0" applyNumberFormat="1" applyFont="1" applyAlignment="1">
      <alignment horizontal="left" vertical="top" wrapText="1"/>
    </xf>
  </cellXfs>
  <cellStyles count="36">
    <cellStyle name=" 1" xfId="2" xr:uid="{00000000-0005-0000-0000-000000000000}"/>
    <cellStyle name=" 1 2" xfId="3" xr:uid="{00000000-0005-0000-0000-000001000000}"/>
    <cellStyle name=" 1 2 2" xfId="4" xr:uid="{00000000-0005-0000-0000-000002000000}"/>
    <cellStyle name=" 1 3" xfId="5" xr:uid="{00000000-0005-0000-0000-000003000000}"/>
    <cellStyle name="Comma" xfId="6" xr:uid="{00000000-0005-0000-0000-000004000000}"/>
    <cellStyle name="Comma [0]" xfId="7" xr:uid="{00000000-0005-0000-0000-000005000000}"/>
    <cellStyle name="Comma [0] 2" xfId="30" xr:uid="{E0ABB297-C4B4-4445-82C4-0BB61C2CE926}"/>
    <cellStyle name="Currency" xfId="8" xr:uid="{00000000-0005-0000-0000-000006000000}"/>
    <cellStyle name="Currency [0]" xfId="9" xr:uid="{00000000-0005-0000-0000-000007000000}"/>
    <cellStyle name="Currency [0] 2" xfId="32" xr:uid="{0369EC55-839B-4051-B3A2-9D80DFF55B6A}"/>
    <cellStyle name="Currency 2" xfId="31" xr:uid="{56E785E8-1215-42CC-8EE4-D577ADB135CF}"/>
    <cellStyle name="Currency1" xfId="10" xr:uid="{00000000-0005-0000-0000-000008000000}"/>
    <cellStyle name="Followed Hyperlink" xfId="11" xr:uid="{00000000-0005-0000-0000-000009000000}"/>
    <cellStyle name="Hyperlink" xfId="12" xr:uid="{00000000-0005-0000-0000-00000A000000}"/>
    <cellStyle name="Lien hypertexte" xfId="27" builtinId="8"/>
    <cellStyle name="Milliers 10" xfId="13" xr:uid="{00000000-0005-0000-0000-00000C000000}"/>
    <cellStyle name="Milliers 10 2" xfId="33" xr:uid="{925C0D47-1641-4810-9278-9D02F647A1EA}"/>
    <cellStyle name="Normal" xfId="0" builtinId="0"/>
    <cellStyle name="Normal 10" xfId="14" xr:uid="{00000000-0005-0000-0000-00000E000000}"/>
    <cellStyle name="Normal 10 2" xfId="15" xr:uid="{00000000-0005-0000-0000-00000F000000}"/>
    <cellStyle name="Normal 14 16" xfId="16" xr:uid="{00000000-0005-0000-0000-000010000000}"/>
    <cellStyle name="Normal 177" xfId="17" xr:uid="{00000000-0005-0000-0000-000011000000}"/>
    <cellStyle name="Normal 2" xfId="18" xr:uid="{00000000-0005-0000-0000-000012000000}"/>
    <cellStyle name="Normal 2 2" xfId="19" xr:uid="{00000000-0005-0000-0000-000013000000}"/>
    <cellStyle name="Normal 2 3" xfId="34" xr:uid="{6E614F16-AA21-49F0-947A-6250919A1F82}"/>
    <cellStyle name="Normal 3" xfId="20" xr:uid="{00000000-0005-0000-0000-000014000000}"/>
    <cellStyle name="Normal 4" xfId="1" xr:uid="{00000000-0005-0000-0000-000015000000}"/>
    <cellStyle name="Normal 4 2" xfId="29" xr:uid="{CD76EB6C-E2C6-4E12-838F-F412B1F49D02}"/>
    <cellStyle name="Percent" xfId="21" xr:uid="{00000000-0005-0000-0000-000016000000}"/>
    <cellStyle name="Percent1" xfId="22" xr:uid="{00000000-0005-0000-0000-000017000000}"/>
    <cellStyle name="Pourcentage 13" xfId="23" xr:uid="{00000000-0005-0000-0000-000018000000}"/>
    <cellStyle name="Pourcentage 2" xfId="24" xr:uid="{00000000-0005-0000-0000-000019000000}"/>
    <cellStyle name="Pourcentage 3" xfId="25" xr:uid="{00000000-0005-0000-0000-00001A000000}"/>
    <cellStyle name="Sortie" xfId="28" builtinId="21"/>
    <cellStyle name="Ввод " xfId="26" xr:uid="{00000000-0005-0000-0000-00001B000000}"/>
    <cellStyle name="Ввод  2" xfId="35" xr:uid="{7FACA490-9B4D-4665-9D91-3CB438C27B18}"/>
  </cellStyles>
  <dxfs count="1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indexed="64"/>
          <bgColor theme="5" tint="0.79998168889431442"/>
        </patternFill>
      </fill>
    </dxf>
    <dxf>
      <font>
        <color rgb="FF9C0006"/>
      </font>
      <fill>
        <patternFill>
          <bgColor rgb="FFFFC7CE"/>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9C0006"/>
      </font>
      <fill>
        <patternFill>
          <bgColor rgb="FFFFC7CE"/>
        </patternFill>
      </fill>
    </dxf>
    <dxf>
      <font>
        <color theme="0" tint="-0.24994659260841701"/>
      </font>
      <fill>
        <patternFill>
          <bgColor theme="0" tint="-0.24994659260841701"/>
        </patternFill>
      </fill>
    </dxf>
  </dxfs>
  <tableStyles count="0" defaultTableStyle="TableStyleMedium2" defaultPivotStyle="PivotStyleLight16"/>
  <colors>
    <mruColors>
      <color rgb="FF16365C"/>
      <color rgb="FF366092"/>
      <color rgb="FFFFFFFF"/>
      <color rgb="FF095797"/>
      <color rgb="FF225094"/>
      <color rgb="FFD7E1ED"/>
      <color rgb="FFBDE3F2"/>
      <color rgb="FF1FB9E8"/>
      <color rgb="FF1971B7"/>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92536</xdr:colOff>
      <xdr:row>0</xdr:row>
      <xdr:rowOff>540000</xdr:rowOff>
    </xdr:to>
    <xdr:pic>
      <xdr:nvPicPr>
        <xdr:cNvPr id="3" name="Image 2">
          <a:extLst>
            <a:ext uri="{FF2B5EF4-FFF2-40B4-BE49-F238E27FC236}">
              <a16:creationId xmlns:a16="http://schemas.microsoft.com/office/drawing/2014/main" id="{913E0B92-3D16-4FD6-9B68-B896C91362EF}"/>
            </a:ext>
          </a:extLst>
        </xdr:cNvPr>
        <xdr:cNvPicPr>
          <a:picLocks noChangeAspect="1"/>
        </xdr:cNvPicPr>
      </xdr:nvPicPr>
      <xdr:blipFill>
        <a:blip xmlns:r="http://schemas.openxmlformats.org/officeDocument/2006/relationships" r:embed="rId1"/>
        <a:stretch>
          <a:fillRect/>
        </a:stretch>
      </xdr:blipFill>
      <xdr:spPr>
        <a:xfrm>
          <a:off x="0" y="0"/>
          <a:ext cx="1962158" cy="54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77803</xdr:colOff>
      <xdr:row>0</xdr:row>
      <xdr:rowOff>540000</xdr:rowOff>
    </xdr:to>
    <xdr:pic>
      <xdr:nvPicPr>
        <xdr:cNvPr id="3" name="Image 2">
          <a:extLst>
            <a:ext uri="{FF2B5EF4-FFF2-40B4-BE49-F238E27FC236}">
              <a16:creationId xmlns:a16="http://schemas.microsoft.com/office/drawing/2014/main" id="{0EBE47C3-1B84-4DB5-908F-90DA83E8BB8F}"/>
            </a:ext>
          </a:extLst>
        </xdr:cNvPr>
        <xdr:cNvPicPr>
          <a:picLocks noChangeAspect="1"/>
        </xdr:cNvPicPr>
      </xdr:nvPicPr>
      <xdr:blipFill>
        <a:blip xmlns:r="http://schemas.openxmlformats.org/officeDocument/2006/relationships" r:embed="rId1"/>
        <a:stretch>
          <a:fillRect/>
        </a:stretch>
      </xdr:blipFill>
      <xdr:spPr>
        <a:xfrm>
          <a:off x="0" y="0"/>
          <a:ext cx="1975765" cy="54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25067</xdr:colOff>
      <xdr:row>0</xdr:row>
      <xdr:rowOff>25066</xdr:rowOff>
    </xdr:from>
    <xdr:to>
      <xdr:col>1</xdr:col>
      <xdr:colOff>1804889</xdr:colOff>
      <xdr:row>0</xdr:row>
      <xdr:rowOff>565066</xdr:rowOff>
    </xdr:to>
    <xdr:pic>
      <xdr:nvPicPr>
        <xdr:cNvPr id="3" name="Image 2">
          <a:extLst>
            <a:ext uri="{FF2B5EF4-FFF2-40B4-BE49-F238E27FC236}">
              <a16:creationId xmlns:a16="http://schemas.microsoft.com/office/drawing/2014/main" id="{8250B44B-83AB-13AC-6707-AA67F1F63158}"/>
            </a:ext>
          </a:extLst>
        </xdr:cNvPr>
        <xdr:cNvPicPr>
          <a:picLocks noChangeAspect="1"/>
        </xdr:cNvPicPr>
      </xdr:nvPicPr>
      <xdr:blipFill>
        <a:blip xmlns:r="http://schemas.openxmlformats.org/officeDocument/2006/relationships" r:embed="rId1"/>
        <a:stretch>
          <a:fillRect/>
        </a:stretch>
      </xdr:blipFill>
      <xdr:spPr>
        <a:xfrm>
          <a:off x="25067" y="25066"/>
          <a:ext cx="1959293" cy="54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1794790</xdr:colOff>
      <xdr:row>0</xdr:row>
      <xdr:rowOff>540000</xdr:rowOff>
    </xdr:to>
    <xdr:pic>
      <xdr:nvPicPr>
        <xdr:cNvPr id="2" name="Image 1">
          <a:extLst>
            <a:ext uri="{FF2B5EF4-FFF2-40B4-BE49-F238E27FC236}">
              <a16:creationId xmlns:a16="http://schemas.microsoft.com/office/drawing/2014/main" id="{905E1EE1-AADB-4DCF-8859-8581CD1F73F3}"/>
            </a:ext>
          </a:extLst>
        </xdr:cNvPr>
        <xdr:cNvPicPr>
          <a:picLocks noChangeAspect="1"/>
        </xdr:cNvPicPr>
      </xdr:nvPicPr>
      <xdr:blipFill>
        <a:blip xmlns:r="http://schemas.openxmlformats.org/officeDocument/2006/relationships" r:embed="rId1"/>
        <a:stretch>
          <a:fillRect/>
        </a:stretch>
      </xdr:blipFill>
      <xdr:spPr>
        <a:xfrm>
          <a:off x="0" y="0"/>
          <a:ext cx="1975765"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125113</xdr:colOff>
      <xdr:row>0</xdr:row>
      <xdr:rowOff>540000</xdr:rowOff>
    </xdr:to>
    <xdr:pic>
      <xdr:nvPicPr>
        <xdr:cNvPr id="3" name="Image 2">
          <a:extLst>
            <a:ext uri="{FF2B5EF4-FFF2-40B4-BE49-F238E27FC236}">
              <a16:creationId xmlns:a16="http://schemas.microsoft.com/office/drawing/2014/main" id="{C831C06D-60C6-47E8-9997-C850F5FE39FC}"/>
            </a:ext>
          </a:extLst>
        </xdr:cNvPr>
        <xdr:cNvPicPr>
          <a:picLocks noChangeAspect="1"/>
        </xdr:cNvPicPr>
      </xdr:nvPicPr>
      <xdr:blipFill>
        <a:blip xmlns:r="http://schemas.openxmlformats.org/officeDocument/2006/relationships" r:embed="rId1"/>
        <a:stretch>
          <a:fillRect/>
        </a:stretch>
      </xdr:blipFill>
      <xdr:spPr>
        <a:xfrm>
          <a:off x="0" y="0"/>
          <a:ext cx="1975765" cy="54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80290</xdr:colOff>
      <xdr:row>0</xdr:row>
      <xdr:rowOff>540000</xdr:rowOff>
    </xdr:to>
    <xdr:pic>
      <xdr:nvPicPr>
        <xdr:cNvPr id="3" name="Image 2">
          <a:extLst>
            <a:ext uri="{FF2B5EF4-FFF2-40B4-BE49-F238E27FC236}">
              <a16:creationId xmlns:a16="http://schemas.microsoft.com/office/drawing/2014/main" id="{ECF4D6ED-8B0E-4E8A-A955-4F6B1F387E3F}"/>
            </a:ext>
          </a:extLst>
        </xdr:cNvPr>
        <xdr:cNvPicPr>
          <a:picLocks noChangeAspect="1"/>
        </xdr:cNvPicPr>
      </xdr:nvPicPr>
      <xdr:blipFill>
        <a:blip xmlns:r="http://schemas.openxmlformats.org/officeDocument/2006/relationships" r:embed="rId1"/>
        <a:stretch>
          <a:fillRect/>
        </a:stretch>
      </xdr:blipFill>
      <xdr:spPr>
        <a:xfrm>
          <a:off x="0" y="0"/>
          <a:ext cx="1975765" cy="54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1796471</xdr:colOff>
      <xdr:row>0</xdr:row>
      <xdr:rowOff>540000</xdr:rowOff>
    </xdr:to>
    <xdr:pic>
      <xdr:nvPicPr>
        <xdr:cNvPr id="2" name="Image 1">
          <a:extLst>
            <a:ext uri="{FF2B5EF4-FFF2-40B4-BE49-F238E27FC236}">
              <a16:creationId xmlns:a16="http://schemas.microsoft.com/office/drawing/2014/main" id="{B3290037-38C4-4A54-8679-EEE66EC2F1D1}"/>
            </a:ext>
          </a:extLst>
        </xdr:cNvPr>
        <xdr:cNvPicPr>
          <a:picLocks noChangeAspect="1"/>
        </xdr:cNvPicPr>
      </xdr:nvPicPr>
      <xdr:blipFill>
        <a:blip xmlns:r="http://schemas.openxmlformats.org/officeDocument/2006/relationships" r:embed="rId1"/>
        <a:stretch>
          <a:fillRect/>
        </a:stretch>
      </xdr:blipFill>
      <xdr:spPr>
        <a:xfrm>
          <a:off x="0" y="0"/>
          <a:ext cx="1975765" cy="54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1794790</xdr:colOff>
      <xdr:row>0</xdr:row>
      <xdr:rowOff>540000</xdr:rowOff>
    </xdr:to>
    <xdr:pic>
      <xdr:nvPicPr>
        <xdr:cNvPr id="2" name="Image 1">
          <a:extLst>
            <a:ext uri="{FF2B5EF4-FFF2-40B4-BE49-F238E27FC236}">
              <a16:creationId xmlns:a16="http://schemas.microsoft.com/office/drawing/2014/main" id="{CD9F5707-480E-4368-AC54-D29A9971A6C3}"/>
            </a:ext>
          </a:extLst>
        </xdr:cNvPr>
        <xdr:cNvPicPr>
          <a:picLocks noChangeAspect="1"/>
        </xdr:cNvPicPr>
      </xdr:nvPicPr>
      <xdr:blipFill>
        <a:blip xmlns:r="http://schemas.openxmlformats.org/officeDocument/2006/relationships" r:embed="rId1"/>
        <a:stretch>
          <a:fillRect/>
        </a:stretch>
      </xdr:blipFill>
      <xdr:spPr>
        <a:xfrm>
          <a:off x="0" y="0"/>
          <a:ext cx="1975765" cy="54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1798872</xdr:colOff>
      <xdr:row>0</xdr:row>
      <xdr:rowOff>540000</xdr:rowOff>
    </xdr:to>
    <xdr:pic>
      <xdr:nvPicPr>
        <xdr:cNvPr id="2" name="Image 1">
          <a:extLst>
            <a:ext uri="{FF2B5EF4-FFF2-40B4-BE49-F238E27FC236}">
              <a16:creationId xmlns:a16="http://schemas.microsoft.com/office/drawing/2014/main" id="{6B128404-1DF0-4888-8C60-FD4333BDACFF}"/>
            </a:ext>
          </a:extLst>
        </xdr:cNvPr>
        <xdr:cNvPicPr>
          <a:picLocks noChangeAspect="1"/>
        </xdr:cNvPicPr>
      </xdr:nvPicPr>
      <xdr:blipFill>
        <a:blip xmlns:r="http://schemas.openxmlformats.org/officeDocument/2006/relationships" r:embed="rId1"/>
        <a:stretch>
          <a:fillRect/>
        </a:stretch>
      </xdr:blipFill>
      <xdr:spPr>
        <a:xfrm>
          <a:off x="0" y="0"/>
          <a:ext cx="1975765" cy="540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399BE6-CCA6-40B9-809E-D13A2EFDA800}" name="BanqueEconomique" displayName="BanqueEconomique" ref="A1:A94" totalsRowShown="0">
  <autoFilter ref="A1:A94" xr:uid="{60399BE6-CCA6-40B9-809E-D13A2EFDA800}"/>
  <tableColumns count="1">
    <tableColumn id="1" xr3:uid="{BDFDA17E-F7AD-48B9-941E-2D9E1160F9C0}" name="BanqueEconomique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openxmlformats.org/officeDocument/2006/relationships/comments" Target="../comments4.xml"/><Relationship Id="rId4" Type="http://schemas.openxmlformats.org/officeDocument/2006/relationships/vmlDrawing" Target="../drawings/vmlDrawing1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cdn-contenu.quebec.ca/cdn-contenu/adm/min/secretariat-du-conseil-du-tresor/publications-adm/budgets/2026-2027/6_plan_quebecois_infrastructures.pdf" TargetMode="External"/><Relationship Id="rId1" Type="http://schemas.openxmlformats.org/officeDocument/2006/relationships/hyperlink" Target="https://cdn-contenu.quebec.ca/cdn-contenu/adm/min/secretariat-du-conseil-du-tresor/publications-adm/budgets/2026-2027/6_plan_quebecois_infrastructures.pdf" TargetMode="External"/><Relationship Id="rId5" Type="http://schemas.openxmlformats.org/officeDocument/2006/relationships/vmlDrawing" Target="../drawings/vmlDrawing5.vm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openxmlformats.org/officeDocument/2006/relationships/comments" Target="../comments3.xml"/><Relationship Id="rId4" Type="http://schemas.openxmlformats.org/officeDocument/2006/relationships/vmlDrawing" Target="../drawings/vmlDrawing10.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2B4A3-B396-489B-A40E-A86335637AEA}">
  <sheetPr codeName="Feuil3"/>
  <dimension ref="A1:A94"/>
  <sheetViews>
    <sheetView workbookViewId="0"/>
  </sheetViews>
  <sheetFormatPr baseColWidth="10" defaultRowHeight="12.75"/>
  <cols>
    <col min="1" max="1" width="11.7109375" customWidth="1"/>
  </cols>
  <sheetData>
    <row r="1" spans="1:1">
      <c r="A1" t="s">
        <v>139</v>
      </c>
    </row>
    <row r="2" spans="1:1">
      <c r="A2" t="s">
        <v>76</v>
      </c>
    </row>
    <row r="3" spans="1:1">
      <c r="A3" t="s">
        <v>77</v>
      </c>
    </row>
    <row r="4" spans="1:1">
      <c r="A4" t="s">
        <v>147</v>
      </c>
    </row>
    <row r="5" spans="1:1">
      <c r="A5" t="s">
        <v>78</v>
      </c>
    </row>
    <row r="6" spans="1:1">
      <c r="A6" t="s">
        <v>79</v>
      </c>
    </row>
    <row r="7" spans="1:1">
      <c r="A7" t="s">
        <v>80</v>
      </c>
    </row>
    <row r="8" spans="1:1">
      <c r="A8" t="s">
        <v>81</v>
      </c>
    </row>
    <row r="9" spans="1:1">
      <c r="A9" t="s">
        <v>82</v>
      </c>
    </row>
    <row r="10" spans="1:1">
      <c r="A10" t="s">
        <v>83</v>
      </c>
    </row>
    <row r="11" spans="1:1">
      <c r="A11" t="s">
        <v>84</v>
      </c>
    </row>
    <row r="12" spans="1:1">
      <c r="A12" t="s">
        <v>85</v>
      </c>
    </row>
    <row r="13" spans="1:1">
      <c r="A13" t="s">
        <v>86</v>
      </c>
    </row>
    <row r="14" spans="1:1">
      <c r="A14" t="s">
        <v>87</v>
      </c>
    </row>
    <row r="15" spans="1:1">
      <c r="A15" t="s">
        <v>88</v>
      </c>
    </row>
    <row r="16" spans="1:1">
      <c r="A16" t="s">
        <v>89</v>
      </c>
    </row>
    <row r="17" spans="1:1">
      <c r="A17" t="s">
        <v>90</v>
      </c>
    </row>
    <row r="18" spans="1:1">
      <c r="A18" t="s">
        <v>91</v>
      </c>
    </row>
    <row r="19" spans="1:1">
      <c r="A19" t="s">
        <v>92</v>
      </c>
    </row>
    <row r="20" spans="1:1">
      <c r="A20" t="s">
        <v>93</v>
      </c>
    </row>
    <row r="21" spans="1:1">
      <c r="A21" t="s">
        <v>94</v>
      </c>
    </row>
    <row r="22" spans="1:1">
      <c r="A22" t="s">
        <v>95</v>
      </c>
    </row>
    <row r="23" spans="1:1">
      <c r="A23" t="s">
        <v>96</v>
      </c>
    </row>
    <row r="24" spans="1:1">
      <c r="A24" t="s">
        <v>97</v>
      </c>
    </row>
    <row r="25" spans="1:1">
      <c r="A25" t="s">
        <v>98</v>
      </c>
    </row>
    <row r="26" spans="1:1">
      <c r="A26" t="s">
        <v>99</v>
      </c>
    </row>
    <row r="27" spans="1:1">
      <c r="A27" t="s">
        <v>100</v>
      </c>
    </row>
    <row r="28" spans="1:1">
      <c r="A28" t="s">
        <v>148</v>
      </c>
    </row>
    <row r="29" spans="1:1">
      <c r="A29" t="s">
        <v>149</v>
      </c>
    </row>
    <row r="30" spans="1:1">
      <c r="A30" t="s">
        <v>150</v>
      </c>
    </row>
    <row r="31" spans="1:1">
      <c r="A31" t="s">
        <v>151</v>
      </c>
    </row>
    <row r="32" spans="1:1">
      <c r="A32" t="s">
        <v>152</v>
      </c>
    </row>
    <row r="33" spans="1:1">
      <c r="A33" t="s">
        <v>153</v>
      </c>
    </row>
    <row r="34" spans="1:1">
      <c r="A34" t="s">
        <v>154</v>
      </c>
    </row>
    <row r="35" spans="1:1">
      <c r="A35" t="s">
        <v>155</v>
      </c>
    </row>
    <row r="36" spans="1:1">
      <c r="A36" t="s">
        <v>156</v>
      </c>
    </row>
    <row r="37" spans="1:1">
      <c r="A37" t="s">
        <v>157</v>
      </c>
    </row>
    <row r="38" spans="1:1">
      <c r="A38" t="s">
        <v>158</v>
      </c>
    </row>
    <row r="39" spans="1:1">
      <c r="A39" t="s">
        <v>159</v>
      </c>
    </row>
    <row r="40" spans="1:1">
      <c r="A40" t="s">
        <v>160</v>
      </c>
    </row>
    <row r="41" spans="1:1">
      <c r="A41" t="s">
        <v>161</v>
      </c>
    </row>
    <row r="42" spans="1:1">
      <c r="A42" t="s">
        <v>162</v>
      </c>
    </row>
    <row r="43" spans="1:1">
      <c r="A43" t="s">
        <v>101</v>
      </c>
    </row>
    <row r="44" spans="1:1">
      <c r="A44" t="s">
        <v>102</v>
      </c>
    </row>
    <row r="45" spans="1:1">
      <c r="A45" t="s">
        <v>103</v>
      </c>
    </row>
    <row r="46" spans="1:1">
      <c r="A46" t="s">
        <v>104</v>
      </c>
    </row>
    <row r="47" spans="1:1">
      <c r="A47" t="s">
        <v>105</v>
      </c>
    </row>
    <row r="48" spans="1:1">
      <c r="A48" t="s">
        <v>106</v>
      </c>
    </row>
    <row r="49" spans="1:1">
      <c r="A49" t="s">
        <v>107</v>
      </c>
    </row>
    <row r="50" spans="1:1">
      <c r="A50" t="s">
        <v>108</v>
      </c>
    </row>
    <row r="51" spans="1:1">
      <c r="A51" t="s">
        <v>109</v>
      </c>
    </row>
    <row r="52" spans="1:1">
      <c r="A52" t="s">
        <v>110</v>
      </c>
    </row>
    <row r="53" spans="1:1">
      <c r="A53" t="s">
        <v>60</v>
      </c>
    </row>
    <row r="54" spans="1:1">
      <c r="A54" t="s">
        <v>111</v>
      </c>
    </row>
    <row r="55" spans="1:1">
      <c r="A55" t="s">
        <v>163</v>
      </c>
    </row>
    <row r="56" spans="1:1">
      <c r="A56" t="s">
        <v>112</v>
      </c>
    </row>
    <row r="57" spans="1:1">
      <c r="A57" t="s">
        <v>113</v>
      </c>
    </row>
    <row r="58" spans="1:1">
      <c r="A58" t="s">
        <v>114</v>
      </c>
    </row>
    <row r="59" spans="1:1">
      <c r="A59" t="s">
        <v>115</v>
      </c>
    </row>
    <row r="60" spans="1:1">
      <c r="A60" t="s">
        <v>116</v>
      </c>
    </row>
    <row r="61" spans="1:1">
      <c r="A61" t="s">
        <v>117</v>
      </c>
    </row>
    <row r="62" spans="1:1">
      <c r="A62" t="s">
        <v>118</v>
      </c>
    </row>
    <row r="63" spans="1:1">
      <c r="A63" t="s">
        <v>119</v>
      </c>
    </row>
    <row r="64" spans="1:1">
      <c r="A64" t="s">
        <v>120</v>
      </c>
    </row>
    <row r="65" spans="1:1">
      <c r="A65" t="s">
        <v>121</v>
      </c>
    </row>
    <row r="66" spans="1:1">
      <c r="A66" t="s">
        <v>122</v>
      </c>
    </row>
    <row r="67" spans="1:1">
      <c r="A67" t="s">
        <v>123</v>
      </c>
    </row>
    <row r="68" spans="1:1">
      <c r="A68" t="s">
        <v>124</v>
      </c>
    </row>
    <row r="69" spans="1:1">
      <c r="A69" t="s">
        <v>125</v>
      </c>
    </row>
    <row r="70" spans="1:1">
      <c r="A70" t="s">
        <v>126</v>
      </c>
    </row>
    <row r="71" spans="1:1">
      <c r="A71" t="s">
        <v>127</v>
      </c>
    </row>
    <row r="72" spans="1:1">
      <c r="A72" t="s">
        <v>128</v>
      </c>
    </row>
    <row r="73" spans="1:1">
      <c r="A73" t="s">
        <v>129</v>
      </c>
    </row>
    <row r="74" spans="1:1">
      <c r="A74" t="s">
        <v>130</v>
      </c>
    </row>
    <row r="75" spans="1:1">
      <c r="A75" t="s">
        <v>131</v>
      </c>
    </row>
    <row r="76" spans="1:1">
      <c r="A76" t="s">
        <v>132</v>
      </c>
    </row>
    <row r="77" spans="1:1">
      <c r="A77" t="s">
        <v>133</v>
      </c>
    </row>
    <row r="78" spans="1:1">
      <c r="A78" t="s">
        <v>134</v>
      </c>
    </row>
    <row r="79" spans="1:1">
      <c r="A79" t="s">
        <v>135</v>
      </c>
    </row>
    <row r="80" spans="1:1">
      <c r="A80" t="s">
        <v>136</v>
      </c>
    </row>
    <row r="81" spans="1:1">
      <c r="A81" t="s">
        <v>137</v>
      </c>
    </row>
    <row r="82" spans="1:1">
      <c r="A82" t="s">
        <v>164</v>
      </c>
    </row>
    <row r="83" spans="1:1">
      <c r="A83" t="s">
        <v>165</v>
      </c>
    </row>
    <row r="84" spans="1:1">
      <c r="A84" t="s">
        <v>166</v>
      </c>
    </row>
    <row r="85" spans="1:1">
      <c r="A85" t="s">
        <v>167</v>
      </c>
    </row>
    <row r="86" spans="1:1">
      <c r="A86" t="s">
        <v>168</v>
      </c>
    </row>
    <row r="87" spans="1:1">
      <c r="A87" t="s">
        <v>169</v>
      </c>
    </row>
    <row r="88" spans="1:1">
      <c r="A88" t="s">
        <v>170</v>
      </c>
    </row>
    <row r="89" spans="1:1">
      <c r="A89" t="s">
        <v>171</v>
      </c>
    </row>
    <row r="90" spans="1:1">
      <c r="A90" t="s">
        <v>172</v>
      </c>
    </row>
    <row r="91" spans="1:1">
      <c r="A91" t="s">
        <v>173</v>
      </c>
    </row>
    <row r="92" spans="1:1">
      <c r="A92" t="s">
        <v>174</v>
      </c>
    </row>
    <row r="93" spans="1:1">
      <c r="A93" t="s">
        <v>175</v>
      </c>
    </row>
    <row r="94" spans="1:1">
      <c r="A94" t="s">
        <v>138</v>
      </c>
    </row>
  </sheetData>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59AF0-1289-4E8B-806B-53BE665B53E4}">
  <sheetPr codeName="Feuil5">
    <tabColor rgb="FFBDE3F2"/>
  </sheetPr>
  <dimension ref="A1:X96"/>
  <sheetViews>
    <sheetView zoomScale="85" zoomScaleNormal="85" zoomScaleSheetLayoutView="85" workbookViewId="0"/>
  </sheetViews>
  <sheetFormatPr baseColWidth="10" defaultColWidth="11.42578125" defaultRowHeight="12.75" outlineLevelRow="1" outlineLevelCol="1"/>
  <cols>
    <col min="1" max="1" width="2.7109375" customWidth="1"/>
    <col min="2" max="2" width="40.42578125" customWidth="1"/>
    <col min="3" max="3" width="10.7109375" hidden="1" customWidth="1" outlineLevel="1"/>
    <col min="4" max="4" width="10.7109375" customWidth="1" collapsed="1"/>
    <col min="5" max="9" width="10.7109375" customWidth="1"/>
    <col min="10" max="10" width="11.42578125" customWidth="1"/>
    <col min="11" max="11" width="2.7109375" customWidth="1"/>
    <col min="12" max="13" width="1.7109375" customWidth="1"/>
    <col min="14" max="14" width="32.7109375" customWidth="1"/>
    <col min="15" max="15" width="104.7109375" customWidth="1"/>
    <col min="16" max="22" width="8.5703125" customWidth="1"/>
  </cols>
  <sheetData>
    <row r="1" spans="1:14" s="20" customFormat="1" ht="45" customHeight="1">
      <c r="A1" s="266"/>
      <c r="B1" s="267"/>
      <c r="C1" s="394" t="s">
        <v>355</v>
      </c>
      <c r="D1" s="394"/>
      <c r="E1" s="394"/>
      <c r="F1" s="394"/>
      <c r="G1" s="394"/>
      <c r="H1" s="394"/>
      <c r="I1" s="394"/>
      <c r="J1" s="394"/>
      <c r="K1" s="395"/>
    </row>
    <row r="2" spans="1:14" s="20" customFormat="1" ht="12" customHeight="1">
      <c r="A2" s="40"/>
      <c r="B2" s="40"/>
      <c r="C2" s="40"/>
      <c r="D2" s="40"/>
      <c r="E2" s="40"/>
      <c r="F2" s="40"/>
      <c r="G2" s="40"/>
      <c r="H2" s="41"/>
      <c r="I2" s="41"/>
      <c r="J2" s="41"/>
      <c r="K2" s="41"/>
    </row>
    <row r="3" spans="1:14" s="20" customFormat="1" ht="16.5">
      <c r="B3" s="408" t="s">
        <v>407</v>
      </c>
      <c r="C3" s="408"/>
      <c r="D3" s="408"/>
      <c r="E3" s="408"/>
      <c r="F3" s="408"/>
      <c r="G3" s="408"/>
      <c r="H3" s="408"/>
      <c r="I3" s="408"/>
      <c r="J3" s="438"/>
      <c r="L3" s="43"/>
    </row>
    <row r="4" spans="1:14" s="20" customFormat="1" ht="16.5" thickBot="1">
      <c r="B4" s="434" t="s">
        <v>385</v>
      </c>
      <c r="C4" s="434"/>
      <c r="D4" s="434"/>
      <c r="E4" s="434"/>
      <c r="F4" s="434"/>
      <c r="G4" s="434"/>
      <c r="H4" s="434"/>
      <c r="I4" s="434"/>
      <c r="J4" s="435"/>
      <c r="L4" s="43"/>
    </row>
    <row r="5" spans="1:14" s="20" customFormat="1" ht="24" customHeight="1">
      <c r="B5" s="44"/>
      <c r="C5" s="45" t="s">
        <v>56</v>
      </c>
      <c r="D5" s="45" t="s">
        <v>57</v>
      </c>
      <c r="E5" s="45" t="s">
        <v>58</v>
      </c>
      <c r="F5" s="45" t="s">
        <v>180</v>
      </c>
      <c r="G5" s="45" t="s">
        <v>181</v>
      </c>
      <c r="H5" s="45" t="s">
        <v>182</v>
      </c>
      <c r="I5" s="45" t="s">
        <v>183</v>
      </c>
      <c r="J5" s="163" t="s">
        <v>194</v>
      </c>
      <c r="L5" s="43"/>
    </row>
    <row r="6" spans="1:14" s="20" customFormat="1" ht="15.75">
      <c r="B6" s="47" t="s">
        <v>408</v>
      </c>
      <c r="C6" s="48">
        <f>'7-ResulatsSimulation'!C6-'2_C_Financier'!C22</f>
        <v>0</v>
      </c>
      <c r="D6" s="48">
        <f>'7-ResulatsSimulation'!D6-'2_C_Financier'!D22</f>
        <v>0</v>
      </c>
      <c r="E6" s="48">
        <f>'7-ResulatsSimulation'!E6-'2_C_Financier'!E22</f>
        <v>0</v>
      </c>
      <c r="F6" s="48">
        <f>'7-ResulatsSimulation'!F6-'2_C_Financier'!F22</f>
        <v>0</v>
      </c>
      <c r="G6" s="48">
        <f>'7-ResulatsSimulation'!G6-'2_C_Financier'!G22</f>
        <v>0</v>
      </c>
      <c r="H6" s="48">
        <f>'7-ResulatsSimulation'!H6-'2_C_Financier'!H22</f>
        <v>0</v>
      </c>
      <c r="I6" s="48">
        <f>'7-ResulatsSimulation'!I6-'2_C_Financier'!I22</f>
        <v>0</v>
      </c>
      <c r="J6" s="131"/>
      <c r="L6" s="43"/>
    </row>
    <row r="7" spans="1:14" s="20" customFormat="1" ht="15">
      <c r="B7" s="49" t="s">
        <v>415</v>
      </c>
      <c r="C7" s="50"/>
      <c r="D7" s="50">
        <f>'7-ResulatsSimulation'!D7-'2_C_Financier'!D23</f>
        <v>0</v>
      </c>
      <c r="E7" s="50">
        <f>'7-ResulatsSimulation'!E7-'2_C_Financier'!E23</f>
        <v>0</v>
      </c>
      <c r="F7" s="50">
        <f>'7-ResulatsSimulation'!F7-'2_C_Financier'!F23</f>
        <v>0</v>
      </c>
      <c r="G7" s="50">
        <f>'7-ResulatsSimulation'!G7-'2_C_Financier'!G23</f>
        <v>0</v>
      </c>
      <c r="H7" s="50">
        <f>'7-ResulatsSimulation'!H7-'2_C_Financier'!H23</f>
        <v>0</v>
      </c>
      <c r="I7" s="50">
        <f>'7-ResulatsSimulation'!I7-'2_C_Financier'!I23</f>
        <v>0</v>
      </c>
      <c r="J7" s="50">
        <f>'7-ResulatsSimulation'!J7-'2_C_Financier'!J23</f>
        <v>0</v>
      </c>
      <c r="L7" s="43"/>
    </row>
    <row r="8" spans="1:14" s="20" customFormat="1" ht="15.75">
      <c r="B8" s="164" t="s">
        <v>25</v>
      </c>
      <c r="C8" s="51">
        <f>'7-ResulatsSimulation'!C8-'2_C_Financier'!C8</f>
        <v>0</v>
      </c>
      <c r="D8" s="51">
        <f>'7-ResulatsSimulation'!D8-'2_C_Financier'!D8</f>
        <v>0</v>
      </c>
      <c r="E8" s="51">
        <f>'7-ResulatsSimulation'!E8-'2_C_Financier'!E8</f>
        <v>0</v>
      </c>
      <c r="F8" s="51">
        <f>'7-ResulatsSimulation'!F8-'2_C_Financier'!F8</f>
        <v>0</v>
      </c>
      <c r="G8" s="51">
        <f>'7-ResulatsSimulation'!G8-'2_C_Financier'!G8</f>
        <v>0</v>
      </c>
      <c r="H8" s="51">
        <f>'7-ResulatsSimulation'!H8-'2_C_Financier'!H8</f>
        <v>0</v>
      </c>
      <c r="I8" s="51">
        <f>'7-ResulatsSimulation'!I8-'2_C_Financier'!I8</f>
        <v>0</v>
      </c>
      <c r="J8" s="210">
        <f>IFERROR('7-ResulatsSimulation'!J8-'2_C_Financier'!J8,0)</f>
        <v>0</v>
      </c>
      <c r="L8" s="43"/>
      <c r="N8" s="209"/>
    </row>
    <row r="9" spans="1:14" s="20" customFormat="1" ht="15.75">
      <c r="B9" s="165" t="s">
        <v>26</v>
      </c>
      <c r="C9" s="52">
        <f>'7-ResulatsSimulation'!C9-'2_C_Financier'!C9</f>
        <v>0</v>
      </c>
      <c r="D9" s="52">
        <f>'7-ResulatsSimulation'!D9-'2_C_Financier'!D9</f>
        <v>0</v>
      </c>
      <c r="E9" s="52">
        <f>'7-ResulatsSimulation'!E9-'2_C_Financier'!E9</f>
        <v>0</v>
      </c>
      <c r="F9" s="52">
        <f>'7-ResulatsSimulation'!F9-'2_C_Financier'!F9</f>
        <v>0</v>
      </c>
      <c r="G9" s="52">
        <f>'7-ResulatsSimulation'!G9-'2_C_Financier'!G9</f>
        <v>0</v>
      </c>
      <c r="H9" s="52">
        <f>'7-ResulatsSimulation'!H9-'2_C_Financier'!H9</f>
        <v>0</v>
      </c>
      <c r="I9" s="52">
        <f>'7-ResulatsSimulation'!I9-'2_C_Financier'!I9</f>
        <v>0</v>
      </c>
      <c r="J9" s="140">
        <f>IFERROR('7-ResulatsSimulation'!J9-'2_C_Financier'!J9,0)</f>
        <v>0</v>
      </c>
      <c r="L9" s="43"/>
    </row>
    <row r="10" spans="1:14" s="20" customFormat="1" ht="15.75">
      <c r="B10" s="165" t="s">
        <v>27</v>
      </c>
      <c r="C10" s="52">
        <f>'7-ResulatsSimulation'!C10-'2_C_Financier'!C10</f>
        <v>0</v>
      </c>
      <c r="D10" s="52">
        <f>'7-ResulatsSimulation'!D10-'2_C_Financier'!D10</f>
        <v>0</v>
      </c>
      <c r="E10" s="52">
        <f>'7-ResulatsSimulation'!E10-'2_C_Financier'!E10</f>
        <v>0</v>
      </c>
      <c r="F10" s="52">
        <f>'7-ResulatsSimulation'!F10-'2_C_Financier'!F10</f>
        <v>0</v>
      </c>
      <c r="G10" s="52">
        <f>'7-ResulatsSimulation'!G10-'2_C_Financier'!G10</f>
        <v>0</v>
      </c>
      <c r="H10" s="52">
        <f>'7-ResulatsSimulation'!H10-'2_C_Financier'!H10</f>
        <v>0</v>
      </c>
      <c r="I10" s="52">
        <f>'7-ResulatsSimulation'!I10-'2_C_Financier'!I10</f>
        <v>0</v>
      </c>
      <c r="J10" s="140">
        <f>IFERROR('7-ResulatsSimulation'!J10-'2_C_Financier'!J10,0)</f>
        <v>0</v>
      </c>
      <c r="L10" s="43"/>
    </row>
    <row r="11" spans="1:14" s="20" customFormat="1" ht="15.75">
      <c r="B11" s="165" t="s">
        <v>28</v>
      </c>
      <c r="C11" s="52">
        <f>'7-ResulatsSimulation'!C11-'2_C_Financier'!C11</f>
        <v>0</v>
      </c>
      <c r="D11" s="52">
        <f>'7-ResulatsSimulation'!D11-'2_C_Financier'!D11</f>
        <v>0</v>
      </c>
      <c r="E11" s="52">
        <f>'7-ResulatsSimulation'!E11-'2_C_Financier'!E11</f>
        <v>0</v>
      </c>
      <c r="F11" s="52">
        <f>'7-ResulatsSimulation'!F11-'2_C_Financier'!F11</f>
        <v>0</v>
      </c>
      <c r="G11" s="52">
        <f>'7-ResulatsSimulation'!G11-'2_C_Financier'!G11</f>
        <v>0</v>
      </c>
      <c r="H11" s="52">
        <f>'7-ResulatsSimulation'!H11-'2_C_Financier'!H11</f>
        <v>0</v>
      </c>
      <c r="I11" s="52">
        <f>'7-ResulatsSimulation'!I11-'2_C_Financier'!I11</f>
        <v>0</v>
      </c>
      <c r="J11" s="140">
        <f>IFERROR('7-ResulatsSimulation'!J11-'2_C_Financier'!J11,0)</f>
        <v>0</v>
      </c>
      <c r="L11" s="43"/>
    </row>
    <row r="12" spans="1:14" s="20" customFormat="1" ht="15.75">
      <c r="B12" s="165" t="s">
        <v>29</v>
      </c>
      <c r="C12" s="52">
        <f>'7-ResulatsSimulation'!C12-'2_C_Financier'!C12</f>
        <v>0</v>
      </c>
      <c r="D12" s="52">
        <f>'7-ResulatsSimulation'!D12-'2_C_Financier'!D12</f>
        <v>0</v>
      </c>
      <c r="E12" s="52">
        <f>'7-ResulatsSimulation'!E12-'2_C_Financier'!E12</f>
        <v>0</v>
      </c>
      <c r="F12" s="52">
        <f>'7-ResulatsSimulation'!F12-'2_C_Financier'!F12</f>
        <v>0</v>
      </c>
      <c r="G12" s="52">
        <f>'7-ResulatsSimulation'!G12-'2_C_Financier'!G12</f>
        <v>0</v>
      </c>
      <c r="H12" s="52">
        <f>'7-ResulatsSimulation'!H12-'2_C_Financier'!H12</f>
        <v>0</v>
      </c>
      <c r="I12" s="52">
        <f>'7-ResulatsSimulation'!I12-'2_C_Financier'!I12</f>
        <v>0</v>
      </c>
      <c r="J12" s="140">
        <f>IFERROR('7-ResulatsSimulation'!J12-'2_C_Financier'!J12,0)</f>
        <v>0</v>
      </c>
      <c r="L12" s="43"/>
    </row>
    <row r="13" spans="1:14" s="20" customFormat="1" ht="15.75">
      <c r="B13" s="165" t="s">
        <v>195</v>
      </c>
      <c r="C13" s="52">
        <f>'7-ResulatsSimulation'!C13-'2_C_Financier'!C13</f>
        <v>0</v>
      </c>
      <c r="D13" s="52">
        <f>'7-ResulatsSimulation'!D13-'2_C_Financier'!D13</f>
        <v>0</v>
      </c>
      <c r="E13" s="52">
        <f>'7-ResulatsSimulation'!E13-'2_C_Financier'!E13</f>
        <v>0</v>
      </c>
      <c r="F13" s="52">
        <f>'7-ResulatsSimulation'!F13-'2_C_Financier'!F13</f>
        <v>0</v>
      </c>
      <c r="G13" s="52">
        <f>'7-ResulatsSimulation'!G13-'2_C_Financier'!G13</f>
        <v>0</v>
      </c>
      <c r="H13" s="52">
        <f>'7-ResulatsSimulation'!H13-'2_C_Financier'!H13</f>
        <v>0</v>
      </c>
      <c r="I13" s="52">
        <f>'7-ResulatsSimulation'!I13-'2_C_Financier'!I13</f>
        <v>0</v>
      </c>
      <c r="J13" s="140">
        <f>IFERROR('7-ResulatsSimulation'!J13-'2_C_Financier'!J13,0)</f>
        <v>0</v>
      </c>
      <c r="L13" s="43"/>
    </row>
    <row r="14" spans="1:14" s="20" customFormat="1" ht="15.75">
      <c r="B14" s="165" t="s">
        <v>30</v>
      </c>
      <c r="C14" s="52">
        <f>'7-ResulatsSimulation'!C14-'2_C_Financier'!C14</f>
        <v>0</v>
      </c>
      <c r="D14" s="52">
        <f>'7-ResulatsSimulation'!D14-'2_C_Financier'!D14</f>
        <v>0</v>
      </c>
      <c r="E14" s="52">
        <f>'7-ResulatsSimulation'!E14-'2_C_Financier'!E14</f>
        <v>0</v>
      </c>
      <c r="F14" s="52">
        <f>'7-ResulatsSimulation'!F14-'2_C_Financier'!F14</f>
        <v>0</v>
      </c>
      <c r="G14" s="52">
        <f>'7-ResulatsSimulation'!G14-'2_C_Financier'!G14</f>
        <v>0</v>
      </c>
      <c r="H14" s="52">
        <f>'7-ResulatsSimulation'!H14-'2_C_Financier'!H14</f>
        <v>0</v>
      </c>
      <c r="I14" s="52">
        <f>'7-ResulatsSimulation'!I14-'2_C_Financier'!I14</f>
        <v>0</v>
      </c>
      <c r="J14" s="140">
        <f>IFERROR('7-ResulatsSimulation'!J14-'2_C_Financier'!J14,0)</f>
        <v>0</v>
      </c>
      <c r="L14" s="43"/>
    </row>
    <row r="15" spans="1:14" s="20" customFormat="1" ht="15.75">
      <c r="B15" s="166" t="s">
        <v>31</v>
      </c>
      <c r="C15" s="54">
        <f>'7-ResulatsSimulation'!C15-'2_C_Financier'!C15</f>
        <v>0</v>
      </c>
      <c r="D15" s="54">
        <f>'7-ResulatsSimulation'!D15-'2_C_Financier'!D15</f>
        <v>0</v>
      </c>
      <c r="E15" s="54">
        <f>'7-ResulatsSimulation'!E15-'2_C_Financier'!E15</f>
        <v>0</v>
      </c>
      <c r="F15" s="54">
        <f>'7-ResulatsSimulation'!F15-'2_C_Financier'!F15</f>
        <v>0</v>
      </c>
      <c r="G15" s="54">
        <f>'7-ResulatsSimulation'!G15-'2_C_Financier'!G15</f>
        <v>0</v>
      </c>
      <c r="H15" s="54">
        <f>'7-ResulatsSimulation'!H15-'2_C_Financier'!H15</f>
        <v>0</v>
      </c>
      <c r="I15" s="54">
        <f>'7-ResulatsSimulation'!I15-'2_C_Financier'!I15</f>
        <v>0</v>
      </c>
      <c r="J15" s="141">
        <f>IFERROR('7-ResulatsSimulation'!J15-'2_C_Financier'!J15,0)</f>
        <v>0</v>
      </c>
      <c r="L15" s="43"/>
    </row>
    <row r="16" spans="1:14" s="20" customFormat="1" ht="15.75">
      <c r="B16" s="167" t="s">
        <v>32</v>
      </c>
      <c r="C16" s="56">
        <f>'7-ResulatsSimulation'!C16-'2_C_Financier'!C17</f>
        <v>0</v>
      </c>
      <c r="D16" s="56">
        <f>'7-ResulatsSimulation'!D16-'2_C_Financier'!D17</f>
        <v>0</v>
      </c>
      <c r="E16" s="56">
        <f>'7-ResulatsSimulation'!E16-'2_C_Financier'!E17</f>
        <v>0</v>
      </c>
      <c r="F16" s="56">
        <f>'7-ResulatsSimulation'!F16-'2_C_Financier'!F17</f>
        <v>0</v>
      </c>
      <c r="G16" s="56">
        <f>'7-ResulatsSimulation'!G16-'2_C_Financier'!G17</f>
        <v>0</v>
      </c>
      <c r="H16" s="56">
        <f>'7-ResulatsSimulation'!H16-'2_C_Financier'!H17</f>
        <v>0</v>
      </c>
      <c r="I16" s="56">
        <f>'7-ResulatsSimulation'!I16-'2_C_Financier'!I17</f>
        <v>0</v>
      </c>
      <c r="J16" s="130"/>
      <c r="L16" s="43"/>
    </row>
    <row r="17" spans="2:14" s="20" customFormat="1" ht="15">
      <c r="B17" s="168" t="s">
        <v>415</v>
      </c>
      <c r="C17" s="140">
        <f>'7-ResulatsSimulation'!C17-'2_C_Financier'!C18</f>
        <v>0</v>
      </c>
      <c r="D17" s="140">
        <f>'7-ResulatsSimulation'!D17-'2_C_Financier'!D18</f>
        <v>0</v>
      </c>
      <c r="E17" s="140">
        <f>'7-ResulatsSimulation'!E17-'2_C_Financier'!E18</f>
        <v>0</v>
      </c>
      <c r="F17" s="140">
        <f>'7-ResulatsSimulation'!F17-'2_C_Financier'!F18</f>
        <v>0</v>
      </c>
      <c r="G17" s="140">
        <f>'7-ResulatsSimulation'!G17-'2_C_Financier'!G18</f>
        <v>0</v>
      </c>
      <c r="H17" s="140">
        <f>'7-ResulatsSimulation'!H17-'2_C_Financier'!H18</f>
        <v>0</v>
      </c>
      <c r="I17" s="140">
        <f>'7-ResulatsSimulation'!I17-'2_C_Financier'!I18</f>
        <v>0</v>
      </c>
      <c r="J17" s="140">
        <f>IFERROR('7-ResulatsSimulation'!J17-'2_C_Financier'!J18,0)</f>
        <v>0</v>
      </c>
      <c r="L17" s="43"/>
    </row>
    <row r="18" spans="2:14" s="20" customFormat="1" ht="15.75">
      <c r="B18" s="169" t="s">
        <v>34</v>
      </c>
      <c r="C18" s="56">
        <f>'7-ResulatsSimulation'!C18-'2_C_Financier'!C20</f>
        <v>0</v>
      </c>
      <c r="D18" s="56">
        <f>'7-ResulatsSimulation'!D18-'2_C_Financier'!D20</f>
        <v>0</v>
      </c>
      <c r="E18" s="56">
        <f>'7-ResulatsSimulation'!E18-'2_C_Financier'!E20</f>
        <v>0</v>
      </c>
      <c r="F18" s="56">
        <f>'7-ResulatsSimulation'!F18-'2_C_Financier'!F20</f>
        <v>0</v>
      </c>
      <c r="G18" s="56">
        <f>'7-ResulatsSimulation'!G18-'2_C_Financier'!G20</f>
        <v>0</v>
      </c>
      <c r="H18" s="56">
        <f>'7-ResulatsSimulation'!H18-'2_C_Financier'!H20</f>
        <v>0</v>
      </c>
      <c r="I18" s="56">
        <f>'7-ResulatsSimulation'!I18-'2_C_Financier'!I20</f>
        <v>0</v>
      </c>
      <c r="J18" s="130"/>
      <c r="L18" s="43"/>
    </row>
    <row r="19" spans="2:14" s="20" customFormat="1" ht="15">
      <c r="B19" s="57" t="s">
        <v>415</v>
      </c>
      <c r="C19" s="58">
        <f>'7-ResulatsSimulation'!C19-'2_C_Financier'!C21</f>
        <v>0</v>
      </c>
      <c r="D19" s="58">
        <f>'7-ResulatsSimulation'!D19-'2_C_Financier'!D21</f>
        <v>0</v>
      </c>
      <c r="E19" s="58">
        <f>'7-ResulatsSimulation'!E19-'2_C_Financier'!E21</f>
        <v>0</v>
      </c>
      <c r="F19" s="58">
        <f>'7-ResulatsSimulation'!F19-'2_C_Financier'!F21</f>
        <v>0</v>
      </c>
      <c r="G19" s="58">
        <f>'7-ResulatsSimulation'!G19-'2_C_Financier'!G21</f>
        <v>0</v>
      </c>
      <c r="H19" s="58">
        <f>'7-ResulatsSimulation'!H19-'2_C_Financier'!H21</f>
        <v>0</v>
      </c>
      <c r="I19" s="58">
        <f>'7-ResulatsSimulation'!I19-'2_C_Financier'!I21</f>
        <v>0</v>
      </c>
      <c r="J19" s="58">
        <f>IFERROR('7-ResulatsSimulation'!J19-'2_C_Financier'!J21,0)</f>
        <v>0</v>
      </c>
      <c r="L19" s="43"/>
    </row>
    <row r="20" spans="2:14" s="20" customFormat="1" ht="15.75">
      <c r="C20" s="39"/>
      <c r="D20" s="39"/>
      <c r="E20" s="39"/>
      <c r="F20" s="39"/>
      <c r="G20" s="39"/>
      <c r="H20" s="39"/>
      <c r="I20" s="39"/>
      <c r="J20" s="131"/>
      <c r="L20" s="43"/>
    </row>
    <row r="21" spans="2:14" s="20" customFormat="1" ht="15">
      <c r="B21" s="26" t="s">
        <v>409</v>
      </c>
      <c r="C21" s="59">
        <f>SUM(C45,C47)</f>
        <v>0</v>
      </c>
      <c r="D21" s="59">
        <f t="shared" ref="D21:I21" si="0">SUM(D45,D47)</f>
        <v>0</v>
      </c>
      <c r="E21" s="59">
        <f t="shared" si="0"/>
        <v>0</v>
      </c>
      <c r="F21" s="59">
        <f t="shared" si="0"/>
        <v>0</v>
      </c>
      <c r="G21" s="59">
        <f t="shared" si="0"/>
        <v>0</v>
      </c>
      <c r="H21" s="59">
        <f t="shared" si="0"/>
        <v>0</v>
      </c>
      <c r="I21" s="59">
        <f t="shared" si="0"/>
        <v>0</v>
      </c>
      <c r="J21" s="133"/>
      <c r="L21" s="43"/>
    </row>
    <row r="22" spans="2:14" s="20" customFormat="1" ht="15">
      <c r="B22" s="30" t="s">
        <v>415</v>
      </c>
      <c r="C22" s="27"/>
      <c r="D22" s="239">
        <f>ROUND('7-ResulatsSimulation'!D22-'2_C_Financier'!D54,6)</f>
        <v>0</v>
      </c>
      <c r="E22" s="239">
        <f>ROUND('7-ResulatsSimulation'!E22-'2_C_Financier'!E54,6)</f>
        <v>0</v>
      </c>
      <c r="F22" s="239">
        <f>ROUND('7-ResulatsSimulation'!F22-'2_C_Financier'!F54,6)</f>
        <v>0</v>
      </c>
      <c r="G22" s="239">
        <f>ROUND('7-ResulatsSimulation'!G22-'2_C_Financier'!G54,6)</f>
        <v>0</v>
      </c>
      <c r="H22" s="239">
        <f>ROUND('7-ResulatsSimulation'!H22-'2_C_Financier'!H54,6)</f>
        <v>0</v>
      </c>
      <c r="I22" s="239">
        <f>ROUND('7-ResulatsSimulation'!I22-'2_C_Financier'!I54,6)</f>
        <v>0</v>
      </c>
      <c r="J22" s="239">
        <f>ROUND('7-ResulatsSimulation'!J22-'2_C_Financier'!J54,6)</f>
        <v>0</v>
      </c>
      <c r="L22" s="43"/>
    </row>
    <row r="23" spans="2:14" s="20" customFormat="1" ht="15.75">
      <c r="B23" s="60" t="s">
        <v>36</v>
      </c>
      <c r="C23" s="61">
        <f>'7-ResulatsSimulation'!C23-'2_C_Financier'!C26</f>
        <v>0</v>
      </c>
      <c r="D23" s="61">
        <f>'7-ResulatsSimulation'!D23-'2_C_Financier'!D26</f>
        <v>0</v>
      </c>
      <c r="E23" s="61">
        <f>'7-ResulatsSimulation'!E23-'2_C_Financier'!E26</f>
        <v>0</v>
      </c>
      <c r="F23" s="61">
        <f>'7-ResulatsSimulation'!F23-'2_C_Financier'!F26</f>
        <v>0</v>
      </c>
      <c r="G23" s="61">
        <f>'7-ResulatsSimulation'!G23-'2_C_Financier'!G26</f>
        <v>0</v>
      </c>
      <c r="H23" s="61" t="s">
        <v>384</v>
      </c>
      <c r="I23" s="61" t="s">
        <v>384</v>
      </c>
      <c r="J23" s="134"/>
      <c r="L23" s="43"/>
      <c r="N23" s="208"/>
    </row>
    <row r="24" spans="2:14" s="20" customFormat="1" ht="15.75">
      <c r="B24" s="62" t="s">
        <v>415</v>
      </c>
      <c r="C24" s="63"/>
      <c r="D24" s="136">
        <f>ROUND(IFERROR('7-ResulatsSimulation'!D24-'2_C_Financier'!D27,0),6)</f>
        <v>0</v>
      </c>
      <c r="E24" s="136">
        <f>ROUND(IFERROR('7-ResulatsSimulation'!E24-'2_C_Financier'!E27,0),6)</f>
        <v>0</v>
      </c>
      <c r="F24" s="136">
        <f>ROUND(IFERROR('7-ResulatsSimulation'!F24-'2_C_Financier'!F27,0),6)</f>
        <v>0</v>
      </c>
      <c r="G24" s="136">
        <f>ROUND(IFERROR('7-ResulatsSimulation'!G24-'2_C_Financier'!G27,0),6)</f>
        <v>0</v>
      </c>
      <c r="H24" s="136"/>
      <c r="I24" s="136"/>
      <c r="J24" s="135"/>
      <c r="L24" s="43"/>
    </row>
    <row r="25" spans="2:14" s="20" customFormat="1" ht="15.75">
      <c r="B25" s="64" t="s">
        <v>59</v>
      </c>
      <c r="C25" s="65">
        <f>'7-ResulatsSimulation'!C25-'2_C_Financier'!C28</f>
        <v>0</v>
      </c>
      <c r="D25" s="65">
        <f>'7-ResulatsSimulation'!D25-'2_C_Financier'!D28</f>
        <v>0</v>
      </c>
      <c r="E25" s="65">
        <f>'7-ResulatsSimulation'!E25-'2_C_Financier'!E28</f>
        <v>0</v>
      </c>
      <c r="F25" s="65">
        <f>'7-ResulatsSimulation'!F25-'2_C_Financier'!F28</f>
        <v>0</v>
      </c>
      <c r="G25" s="65">
        <f>'7-ResulatsSimulation'!G25-'2_C_Financier'!G28</f>
        <v>0</v>
      </c>
      <c r="H25" s="65" t="s">
        <v>384</v>
      </c>
      <c r="I25" s="65" t="s">
        <v>384</v>
      </c>
      <c r="J25" s="135"/>
      <c r="L25" s="43"/>
    </row>
    <row r="26" spans="2:14" s="20" customFormat="1" ht="15.75">
      <c r="B26" s="62" t="s">
        <v>415</v>
      </c>
      <c r="C26" s="63"/>
      <c r="D26" s="136">
        <f>ROUND(IFERROR('7-ResulatsSimulation'!D26-'2_C_Financier'!D29,0),6)</f>
        <v>0</v>
      </c>
      <c r="E26" s="136">
        <f>ROUND(IFERROR('7-ResulatsSimulation'!E26-'2_C_Financier'!E29,0),6)</f>
        <v>0</v>
      </c>
      <c r="F26" s="136">
        <f>ROUND(IFERROR('7-ResulatsSimulation'!F26-'2_C_Financier'!F29,0),6)</f>
        <v>0</v>
      </c>
      <c r="G26" s="136">
        <f>ROUND(IFERROR('7-ResulatsSimulation'!G26-'2_C_Financier'!G29,0),6)</f>
        <v>0</v>
      </c>
      <c r="H26" s="136"/>
      <c r="I26" s="136"/>
      <c r="J26" s="135"/>
      <c r="L26" s="43"/>
    </row>
    <row r="27" spans="2:14" s="20" customFormat="1" ht="15.75">
      <c r="B27" s="64" t="s">
        <v>61</v>
      </c>
      <c r="C27" s="65">
        <f>'7-ResulatsSimulation'!C27-'2_C_Financier'!C30</f>
        <v>0</v>
      </c>
      <c r="D27" s="65">
        <f>'7-ResulatsSimulation'!D27-'2_C_Financier'!D30</f>
        <v>0</v>
      </c>
      <c r="E27" s="65">
        <f>'7-ResulatsSimulation'!E27-'2_C_Financier'!E30</f>
        <v>0</v>
      </c>
      <c r="F27" s="65">
        <f>'7-ResulatsSimulation'!F27-'2_C_Financier'!F30</f>
        <v>0</v>
      </c>
      <c r="G27" s="65">
        <f>'7-ResulatsSimulation'!G27-'2_C_Financier'!G30</f>
        <v>0</v>
      </c>
      <c r="H27" s="65" t="s">
        <v>384</v>
      </c>
      <c r="I27" s="65" t="s">
        <v>384</v>
      </c>
      <c r="J27" s="135"/>
      <c r="L27" s="43"/>
    </row>
    <row r="28" spans="2:14" s="20" customFormat="1" ht="15.75">
      <c r="B28" s="62" t="s">
        <v>415</v>
      </c>
      <c r="C28" s="63"/>
      <c r="D28" s="136">
        <f>ROUND(IFERROR('7-ResulatsSimulation'!D28-'2_C_Financier'!D31,0),6)</f>
        <v>0</v>
      </c>
      <c r="E28" s="136">
        <f>ROUND(IFERROR('7-ResulatsSimulation'!E28-'2_C_Financier'!E31,0),6)</f>
        <v>0</v>
      </c>
      <c r="F28" s="136">
        <f>ROUND(IFERROR('7-ResulatsSimulation'!F28-'2_C_Financier'!F31,0),6)</f>
        <v>0</v>
      </c>
      <c r="G28" s="136">
        <f>ROUND(IFERROR('7-ResulatsSimulation'!G28-'2_C_Financier'!G31,0),6)</f>
        <v>0</v>
      </c>
      <c r="H28" s="136"/>
      <c r="I28" s="136"/>
      <c r="J28" s="135"/>
      <c r="L28" s="43"/>
    </row>
    <row r="29" spans="2:14" s="20" customFormat="1" ht="15.75">
      <c r="B29" s="64" t="s">
        <v>62</v>
      </c>
      <c r="C29" s="65">
        <f>'7-ResulatsSimulation'!C29-'2_C_Financier'!C32</f>
        <v>0</v>
      </c>
      <c r="D29" s="65">
        <f>'7-ResulatsSimulation'!D29-'2_C_Financier'!D32</f>
        <v>0</v>
      </c>
      <c r="E29" s="65">
        <f>'7-ResulatsSimulation'!E29-'2_C_Financier'!E32</f>
        <v>0</v>
      </c>
      <c r="F29" s="65">
        <f>'7-ResulatsSimulation'!F29-'2_C_Financier'!F32</f>
        <v>0</v>
      </c>
      <c r="G29" s="65">
        <f>'7-ResulatsSimulation'!G29-'2_C_Financier'!G32</f>
        <v>0</v>
      </c>
      <c r="H29" s="65" t="s">
        <v>384</v>
      </c>
      <c r="I29" s="65" t="s">
        <v>384</v>
      </c>
      <c r="J29" s="135"/>
      <c r="L29" s="43"/>
    </row>
    <row r="30" spans="2:14" s="20" customFormat="1" ht="15.75">
      <c r="B30" s="62" t="s">
        <v>415</v>
      </c>
      <c r="C30" s="63"/>
      <c r="D30" s="136">
        <f>ROUND(IFERROR('7-ResulatsSimulation'!D30-'2_C_Financier'!D33,0),6)</f>
        <v>0</v>
      </c>
      <c r="E30" s="136">
        <f>ROUND(IFERROR('7-ResulatsSimulation'!E30-'2_C_Financier'!E33,0),6)</f>
        <v>0</v>
      </c>
      <c r="F30" s="136">
        <f>ROUND(IFERROR('7-ResulatsSimulation'!F30-'2_C_Financier'!F33,0),6)</f>
        <v>0</v>
      </c>
      <c r="G30" s="136">
        <f>ROUND(IFERROR('7-ResulatsSimulation'!G30-'2_C_Financier'!G33,0),6)</f>
        <v>0</v>
      </c>
      <c r="H30" s="136"/>
      <c r="I30" s="136"/>
      <c r="J30" s="135"/>
      <c r="L30" s="43"/>
    </row>
    <row r="31" spans="2:14" s="20" customFormat="1" ht="15.75">
      <c r="B31" s="64" t="s">
        <v>222</v>
      </c>
      <c r="C31" s="65">
        <f>'7-ResulatsSimulation'!C31-'2_C_Financier'!C34</f>
        <v>0</v>
      </c>
      <c r="D31" s="65">
        <f>'7-ResulatsSimulation'!D31-'2_C_Financier'!D34</f>
        <v>0</v>
      </c>
      <c r="E31" s="65">
        <f>'7-ResulatsSimulation'!E31-'2_C_Financier'!E34</f>
        <v>0</v>
      </c>
      <c r="F31" s="65">
        <f>'7-ResulatsSimulation'!F31-'2_C_Financier'!F34</f>
        <v>0</v>
      </c>
      <c r="G31" s="65">
        <f>'7-ResulatsSimulation'!G31-'2_C_Financier'!G34</f>
        <v>0</v>
      </c>
      <c r="H31" s="65" t="s">
        <v>384</v>
      </c>
      <c r="I31" s="65" t="s">
        <v>384</v>
      </c>
      <c r="J31" s="135"/>
      <c r="L31" s="43"/>
    </row>
    <row r="32" spans="2:14" s="20" customFormat="1" ht="15.75">
      <c r="B32" s="62" t="s">
        <v>415</v>
      </c>
      <c r="C32" s="63"/>
      <c r="D32" s="136">
        <f>ROUND(IFERROR('7-ResulatsSimulation'!D32-'2_C_Financier'!D35,0),6)</f>
        <v>0</v>
      </c>
      <c r="E32" s="136">
        <f>ROUND(IFERROR('7-ResulatsSimulation'!E32-'2_C_Financier'!E35,0),6)</f>
        <v>0</v>
      </c>
      <c r="F32" s="136">
        <f>ROUND(IFERROR('7-ResulatsSimulation'!F32-'2_C_Financier'!F35,0),6)</f>
        <v>0</v>
      </c>
      <c r="G32" s="136">
        <f>ROUND(IFERROR('7-ResulatsSimulation'!G32-'2_C_Financier'!G35,0),6)</f>
        <v>0</v>
      </c>
      <c r="H32" s="136"/>
      <c r="I32" s="136"/>
      <c r="J32" s="135"/>
      <c r="L32" s="43"/>
    </row>
    <row r="33" spans="2:14" s="20" customFormat="1" ht="15.75">
      <c r="B33" s="64" t="s">
        <v>223</v>
      </c>
      <c r="C33" s="65">
        <f>'7-ResulatsSimulation'!C33-'2_C_Financier'!C36</f>
        <v>0</v>
      </c>
      <c r="D33" s="65">
        <f>'7-ResulatsSimulation'!D33-'2_C_Financier'!D36</f>
        <v>0</v>
      </c>
      <c r="E33" s="65">
        <f>'7-ResulatsSimulation'!E33-'2_C_Financier'!E36</f>
        <v>0</v>
      </c>
      <c r="F33" s="65">
        <f>'7-ResulatsSimulation'!F33-'2_C_Financier'!F36</f>
        <v>0</v>
      </c>
      <c r="G33" s="65">
        <f>'7-ResulatsSimulation'!G33-'2_C_Financier'!G36</f>
        <v>0</v>
      </c>
      <c r="H33" s="65" t="s">
        <v>384</v>
      </c>
      <c r="I33" s="65" t="s">
        <v>384</v>
      </c>
      <c r="J33" s="135"/>
      <c r="L33" s="43"/>
    </row>
    <row r="34" spans="2:14" s="20" customFormat="1" ht="15.75">
      <c r="B34" s="62" t="s">
        <v>415</v>
      </c>
      <c r="C34" s="63"/>
      <c r="D34" s="136">
        <f>ROUND(IFERROR('7-ResulatsSimulation'!D34-'2_C_Financier'!D37,0),6)</f>
        <v>0</v>
      </c>
      <c r="E34" s="136">
        <f>ROUND(IFERROR('7-ResulatsSimulation'!E34-'2_C_Financier'!E37,0),6)</f>
        <v>0</v>
      </c>
      <c r="F34" s="136">
        <f>ROUND(IFERROR('7-ResulatsSimulation'!F34-'2_C_Financier'!F37,0),6)</f>
        <v>0</v>
      </c>
      <c r="G34" s="136">
        <f>ROUND(IFERROR('7-ResulatsSimulation'!G34-'2_C_Financier'!G37,0),6)</f>
        <v>0</v>
      </c>
      <c r="H34" s="136"/>
      <c r="I34" s="136"/>
      <c r="J34" s="135"/>
      <c r="L34" s="43"/>
    </row>
    <row r="35" spans="2:14" s="20" customFormat="1" ht="15.75">
      <c r="B35" s="64" t="s">
        <v>63</v>
      </c>
      <c r="C35" s="65">
        <f>'7-ResulatsSimulation'!C35-'2_C_Financier'!C38</f>
        <v>0</v>
      </c>
      <c r="D35" s="65">
        <f>'7-ResulatsSimulation'!D35-'2_C_Financier'!D38</f>
        <v>0</v>
      </c>
      <c r="E35" s="65">
        <f>'7-ResulatsSimulation'!E35-'2_C_Financier'!E38</f>
        <v>0</v>
      </c>
      <c r="F35" s="65">
        <f>'7-ResulatsSimulation'!F35-'2_C_Financier'!F38</f>
        <v>0</v>
      </c>
      <c r="G35" s="65">
        <f>'7-ResulatsSimulation'!G35-'2_C_Financier'!G38</f>
        <v>0</v>
      </c>
      <c r="H35" s="65" t="s">
        <v>384</v>
      </c>
      <c r="I35" s="65" t="s">
        <v>384</v>
      </c>
      <c r="J35" s="135"/>
      <c r="L35" s="43"/>
    </row>
    <row r="36" spans="2:14" s="20" customFormat="1" ht="15.75">
      <c r="B36" s="62" t="s">
        <v>415</v>
      </c>
      <c r="C36" s="63"/>
      <c r="D36" s="136">
        <f>ROUND(IFERROR('7-ResulatsSimulation'!D36-'2_C_Financier'!D39,0),6)</f>
        <v>0</v>
      </c>
      <c r="E36" s="136">
        <f>ROUND(IFERROR('7-ResulatsSimulation'!E36-'2_C_Financier'!E39,0),6)</f>
        <v>0</v>
      </c>
      <c r="F36" s="136">
        <f>ROUND(IFERROR('7-ResulatsSimulation'!F36-'2_C_Financier'!F39,0),6)</f>
        <v>0</v>
      </c>
      <c r="G36" s="136">
        <f>ROUND(IFERROR('7-ResulatsSimulation'!G36-'2_C_Financier'!G39,0),6)</f>
        <v>0</v>
      </c>
      <c r="H36" s="136"/>
      <c r="I36" s="136"/>
      <c r="J36" s="135"/>
      <c r="L36" s="43"/>
    </row>
    <row r="37" spans="2:14" s="20" customFormat="1" ht="15.75">
      <c r="B37" s="64" t="s">
        <v>224</v>
      </c>
      <c r="C37" s="65">
        <f>'7-ResulatsSimulation'!C37-'2_C_Financier'!C40</f>
        <v>0</v>
      </c>
      <c r="D37" s="65">
        <f>'7-ResulatsSimulation'!D37-'2_C_Financier'!D40</f>
        <v>0</v>
      </c>
      <c r="E37" s="65">
        <f>'7-ResulatsSimulation'!E37-'2_C_Financier'!E40</f>
        <v>0</v>
      </c>
      <c r="F37" s="65">
        <f>'7-ResulatsSimulation'!F37-'2_C_Financier'!F40</f>
        <v>0</v>
      </c>
      <c r="G37" s="65">
        <f>'7-ResulatsSimulation'!G37-'2_C_Financier'!G40</f>
        <v>0</v>
      </c>
      <c r="H37" s="65" t="s">
        <v>384</v>
      </c>
      <c r="I37" s="65" t="s">
        <v>384</v>
      </c>
      <c r="J37" s="135"/>
      <c r="L37" s="43"/>
    </row>
    <row r="38" spans="2:14" s="20" customFormat="1" ht="15.75">
      <c r="B38" s="62" t="s">
        <v>415</v>
      </c>
      <c r="C38" s="63"/>
      <c r="D38" s="136">
        <f>ROUND(IFERROR('7-ResulatsSimulation'!D38-'2_C_Financier'!D41,0),6)</f>
        <v>0</v>
      </c>
      <c r="E38" s="136">
        <f>ROUND(IFERROR('7-ResulatsSimulation'!E38-'2_C_Financier'!E41,0),6)</f>
        <v>0</v>
      </c>
      <c r="F38" s="136">
        <f>ROUND(IFERROR('7-ResulatsSimulation'!F38-'2_C_Financier'!F41,0),6)</f>
        <v>0</v>
      </c>
      <c r="G38" s="136">
        <f>ROUND(IFERROR('7-ResulatsSimulation'!G38-'2_C_Financier'!G41,0),6)</f>
        <v>0</v>
      </c>
      <c r="H38" s="136"/>
      <c r="I38" s="136"/>
      <c r="J38" s="135"/>
      <c r="L38" s="43"/>
    </row>
    <row r="39" spans="2:14" s="20" customFormat="1" ht="28.5">
      <c r="B39" s="64" t="s">
        <v>196</v>
      </c>
      <c r="C39" s="65">
        <f>'7-ResulatsSimulation'!C39-'2_C_Financier'!C42</f>
        <v>0</v>
      </c>
      <c r="D39" s="65">
        <f>'7-ResulatsSimulation'!D39-'2_C_Financier'!D42</f>
        <v>0</v>
      </c>
      <c r="E39" s="65">
        <f>'7-ResulatsSimulation'!E39-'2_C_Financier'!E42</f>
        <v>0</v>
      </c>
      <c r="F39" s="65">
        <f>'7-ResulatsSimulation'!F39-'2_C_Financier'!F42</f>
        <v>0</v>
      </c>
      <c r="G39" s="65">
        <f>'7-ResulatsSimulation'!G39-'2_C_Financier'!G42</f>
        <v>0</v>
      </c>
      <c r="H39" s="65" t="s">
        <v>384</v>
      </c>
      <c r="I39" s="65" t="s">
        <v>384</v>
      </c>
      <c r="J39" s="135"/>
      <c r="L39" s="43"/>
    </row>
    <row r="40" spans="2:14" s="20" customFormat="1" ht="15.75">
      <c r="B40" s="62" t="s">
        <v>415</v>
      </c>
      <c r="C40" s="63"/>
      <c r="D40" s="136">
        <f>ROUND(IFERROR('7-ResulatsSimulation'!D40-'2_C_Financier'!D43,0),6)</f>
        <v>0</v>
      </c>
      <c r="E40" s="136">
        <f>ROUND(IFERROR('7-ResulatsSimulation'!E40-'2_C_Financier'!E43,0),6)</f>
        <v>0</v>
      </c>
      <c r="F40" s="136">
        <f>ROUND(IFERROR('7-ResulatsSimulation'!F40-'2_C_Financier'!F43,0),6)</f>
        <v>0</v>
      </c>
      <c r="G40" s="136">
        <f>ROUND(IFERROR('7-ResulatsSimulation'!G40-'2_C_Financier'!G43,0),6)</f>
        <v>0</v>
      </c>
      <c r="H40" s="136"/>
      <c r="I40" s="136"/>
      <c r="J40" s="135"/>
      <c r="L40" s="43"/>
    </row>
    <row r="41" spans="2:14" s="20" customFormat="1" ht="15.75">
      <c r="B41" s="64" t="s">
        <v>64</v>
      </c>
      <c r="C41" s="65">
        <f>'7-ResulatsSimulation'!C41-'2_C_Financier'!C44</f>
        <v>0</v>
      </c>
      <c r="D41" s="65">
        <f>'7-ResulatsSimulation'!D41-'2_C_Financier'!D44</f>
        <v>0</v>
      </c>
      <c r="E41" s="65">
        <f>'7-ResulatsSimulation'!E41-'2_C_Financier'!E44</f>
        <v>0</v>
      </c>
      <c r="F41" s="65">
        <f>'7-ResulatsSimulation'!F41-'2_C_Financier'!F44</f>
        <v>0</v>
      </c>
      <c r="G41" s="65">
        <f>'7-ResulatsSimulation'!G41-'2_C_Financier'!G44</f>
        <v>0</v>
      </c>
      <c r="H41" s="65" t="s">
        <v>384</v>
      </c>
      <c r="I41" s="65" t="s">
        <v>384</v>
      </c>
      <c r="J41" s="135"/>
      <c r="L41" s="43"/>
    </row>
    <row r="42" spans="2:14" s="20" customFormat="1" ht="15.75">
      <c r="B42" s="62" t="s">
        <v>415</v>
      </c>
      <c r="C42" s="63"/>
      <c r="D42" s="136">
        <f>ROUND(IFERROR('7-ResulatsSimulation'!D42-'2_C_Financier'!D45,0),6)</f>
        <v>0</v>
      </c>
      <c r="E42" s="136">
        <f>ROUND(IFERROR('7-ResulatsSimulation'!E42-'2_C_Financier'!E45,0),6)</f>
        <v>0</v>
      </c>
      <c r="F42" s="136">
        <f>ROUND(IFERROR('7-ResulatsSimulation'!F42-'2_C_Financier'!F45,0),6)</f>
        <v>0</v>
      </c>
      <c r="G42" s="136">
        <f>ROUND(IFERROR('7-ResulatsSimulation'!G42-'2_C_Financier'!G45,0),6)</f>
        <v>0</v>
      </c>
      <c r="H42" s="63"/>
      <c r="I42" s="63"/>
      <c r="J42" s="135"/>
      <c r="L42" s="43"/>
    </row>
    <row r="43" spans="2:14" s="20" customFormat="1" ht="14.25" customHeight="1">
      <c r="B43" s="64" t="s">
        <v>360</v>
      </c>
      <c r="C43" s="251">
        <f>'7-ResulatsSimulation'!C43-'2_C_Financier'!C46</f>
        <v>0</v>
      </c>
      <c r="D43" s="251">
        <f>'7-ResulatsSimulation'!D43-'2_C_Financier'!D46</f>
        <v>0</v>
      </c>
      <c r="E43" s="251">
        <f>'7-ResulatsSimulation'!E43-'2_C_Financier'!E46</f>
        <v>0</v>
      </c>
      <c r="F43" s="251">
        <f>'7-ResulatsSimulation'!F43-'2_C_Financier'!F46</f>
        <v>0</v>
      </c>
      <c r="G43" s="251">
        <f>'7-ResulatsSimulation'!G43-'2_C_Financier'!G46</f>
        <v>0</v>
      </c>
      <c r="H43" s="251" t="s">
        <v>384</v>
      </c>
      <c r="I43" s="251" t="s">
        <v>384</v>
      </c>
      <c r="J43" s="135"/>
      <c r="L43" s="43"/>
    </row>
    <row r="44" spans="2:14" s="20" customFormat="1" ht="15.75">
      <c r="B44" s="62" t="s">
        <v>415</v>
      </c>
      <c r="C44" s="63"/>
      <c r="D44" s="136">
        <f>ROUND(IFERROR('7-ResulatsSimulation'!D44-'2_C_Financier'!D47,0),6)</f>
        <v>0</v>
      </c>
      <c r="E44" s="136">
        <f>ROUND(IFERROR('7-ResulatsSimulation'!E44-'2_C_Financier'!E47,0),6)</f>
        <v>0</v>
      </c>
      <c r="F44" s="136">
        <f>ROUND(IFERROR('7-ResulatsSimulation'!F44-'2_C_Financier'!F47,0),6)</f>
        <v>0</v>
      </c>
      <c r="G44" s="136">
        <f>ROUND(IFERROR('7-ResulatsSimulation'!G44-'2_C_Financier'!G47,0),6)</f>
        <v>0</v>
      </c>
      <c r="H44" s="63"/>
      <c r="I44" s="63"/>
      <c r="J44" s="135"/>
      <c r="L44" s="43"/>
    </row>
    <row r="45" spans="2:14" s="20" customFormat="1" ht="15.75">
      <c r="B45" s="66" t="s">
        <v>72</v>
      </c>
      <c r="C45" s="142">
        <f>SUM(C23,C25,C27,C29,C31,C33,C35,C37,C39,C41,C43)</f>
        <v>0</v>
      </c>
      <c r="D45" s="142">
        <f t="shared" ref="D45:G45" si="1">SUM(D23,D25,D27,D29,D31,D33,D35,D37,D39,D41,D43)</f>
        <v>0</v>
      </c>
      <c r="E45" s="142">
        <f t="shared" si="1"/>
        <v>0</v>
      </c>
      <c r="F45" s="142">
        <f t="shared" si="1"/>
        <v>0</v>
      </c>
      <c r="G45" s="142">
        <f t="shared" si="1"/>
        <v>0</v>
      </c>
      <c r="H45" s="142">
        <f>'7-ResulatsSimulation'!H45-'2_C_Financier'!H48</f>
        <v>0</v>
      </c>
      <c r="I45" s="142">
        <f>'7-ResulatsSimulation'!I45-'2_C_Financier'!I48</f>
        <v>0</v>
      </c>
      <c r="J45" s="143"/>
      <c r="L45" s="43"/>
    </row>
    <row r="46" spans="2:14" s="20" customFormat="1" ht="15">
      <c r="B46" s="62" t="s">
        <v>415</v>
      </c>
      <c r="C46" s="136"/>
      <c r="D46" s="136">
        <f>ROUND('7-ResulatsSimulation'!D46-'2_C_Financier'!D49,6)</f>
        <v>0</v>
      </c>
      <c r="E46" s="136">
        <f>ROUND('7-ResulatsSimulation'!E46-'2_C_Financier'!E49,6)</f>
        <v>0</v>
      </c>
      <c r="F46" s="136">
        <f>ROUND('7-ResulatsSimulation'!F46-'2_C_Financier'!F49,6)</f>
        <v>0</v>
      </c>
      <c r="G46" s="136">
        <f>ROUND('7-ResulatsSimulation'!G46-'2_C_Financier'!G49,6)</f>
        <v>0</v>
      </c>
      <c r="H46" s="136">
        <f>ROUND('7-ResulatsSimulation'!H46-'2_C_Financier'!H49,6)</f>
        <v>0</v>
      </c>
      <c r="I46" s="136">
        <f>ROUND('7-ResulatsSimulation'!I46-'2_C_Financier'!I49,6)</f>
        <v>0</v>
      </c>
      <c r="J46" s="136">
        <f>ROUND('7-ResulatsSimulation'!J46-'2_C_Financier'!J49,6)</f>
        <v>0</v>
      </c>
      <c r="K46" s="43"/>
      <c r="L46" s="43"/>
    </row>
    <row r="47" spans="2:14" s="20" customFormat="1" ht="15.75">
      <c r="B47" s="66" t="s">
        <v>35</v>
      </c>
      <c r="C47" s="67">
        <f>'7-ResulatsSimulation'!C47-'2_C_Financier'!C51</f>
        <v>0</v>
      </c>
      <c r="D47" s="67">
        <f>'7-ResulatsSimulation'!D47-'2_C_Financier'!D51</f>
        <v>0</v>
      </c>
      <c r="E47" s="67">
        <f>'7-ResulatsSimulation'!E47-'2_C_Financier'!E51</f>
        <v>0</v>
      </c>
      <c r="F47" s="67">
        <f>'7-ResulatsSimulation'!F47-'2_C_Financier'!F51</f>
        <v>0</v>
      </c>
      <c r="G47" s="67">
        <f>'7-ResulatsSimulation'!G47-'2_C_Financier'!G51</f>
        <v>0</v>
      </c>
      <c r="H47" s="67">
        <f>'7-ResulatsSimulation'!H47-'2_C_Financier'!H51</f>
        <v>0</v>
      </c>
      <c r="I47" s="67">
        <f>'7-ResulatsSimulation'!I47-'2_C_Financier'!I51</f>
        <v>0</v>
      </c>
      <c r="J47" s="132"/>
      <c r="L47" s="43"/>
    </row>
    <row r="48" spans="2:14" s="20" customFormat="1" ht="15">
      <c r="B48" s="68" t="s">
        <v>415</v>
      </c>
      <c r="C48" s="144"/>
      <c r="D48" s="144">
        <f>ROUND('7-ResulatsSimulation'!D48-'2_C_Financier'!D52,6)</f>
        <v>0</v>
      </c>
      <c r="E48" s="144">
        <f>ROUND('7-ResulatsSimulation'!E48-'2_C_Financier'!E52,6)</f>
        <v>0</v>
      </c>
      <c r="F48" s="144">
        <f>ROUND('7-ResulatsSimulation'!F48-'2_C_Financier'!F52,6)</f>
        <v>0</v>
      </c>
      <c r="G48" s="144">
        <f>ROUND('7-ResulatsSimulation'!G48-'2_C_Financier'!G52,6)</f>
        <v>0</v>
      </c>
      <c r="H48" s="144">
        <f>ROUND('7-ResulatsSimulation'!H48-'2_C_Financier'!H52,6)</f>
        <v>0</v>
      </c>
      <c r="I48" s="144">
        <f>ROUND('7-ResulatsSimulation'!I48-'2_C_Financier'!I52,6)</f>
        <v>0</v>
      </c>
      <c r="J48" s="144">
        <f>ROUND('7-ResulatsSimulation'!J48-'2_C_Financier'!J52,6)</f>
        <v>0</v>
      </c>
      <c r="L48" s="43"/>
      <c r="N48" s="111"/>
    </row>
    <row r="49" spans="2:24" s="20" customFormat="1" ht="7.5" customHeight="1">
      <c r="J49" s="131"/>
      <c r="L49" s="43"/>
    </row>
    <row r="50" spans="2:24" s="20" customFormat="1" ht="16.5" customHeight="1">
      <c r="B50" s="31" t="s">
        <v>412</v>
      </c>
      <c r="C50" s="70">
        <f>'7-ResulatsSimulation'!C50-'2_C_Financier'!C52</f>
        <v>0</v>
      </c>
      <c r="D50" s="70">
        <f>'7-ResulatsSimulation'!D50-'2_C_Financier'!D56</f>
        <v>0</v>
      </c>
      <c r="E50" s="70">
        <f>'7-ResulatsSimulation'!E50-'2_C_Financier'!E56</f>
        <v>0</v>
      </c>
      <c r="F50" s="70">
        <f>'7-ResulatsSimulation'!F50-'2_C_Financier'!F56</f>
        <v>0</v>
      </c>
      <c r="G50" s="70">
        <f>'7-ResulatsSimulation'!G50-'2_C_Financier'!G56</f>
        <v>0</v>
      </c>
      <c r="H50" s="70">
        <f>'7-ResulatsSimulation'!H50-'2_C_Financier'!H56</f>
        <v>0</v>
      </c>
      <c r="I50" s="70">
        <f>'7-ResulatsSimulation'!I50-'2_C_Financier'!I56</f>
        <v>0</v>
      </c>
      <c r="J50" s="131"/>
      <c r="L50" s="43"/>
    </row>
    <row r="51" spans="2:24" s="20" customFormat="1" ht="33.75" customHeight="1">
      <c r="B51" s="329" t="s">
        <v>410</v>
      </c>
      <c r="C51" s="175">
        <f>ROUND(SUM(C6,C21,C50),6)</f>
        <v>0</v>
      </c>
      <c r="D51" s="175">
        <f t="shared" ref="D51:I51" si="2">ROUND(SUM(D6,D21,D50),6)</f>
        <v>0</v>
      </c>
      <c r="E51" s="175">
        <f t="shared" si="2"/>
        <v>0</v>
      </c>
      <c r="F51" s="175">
        <f t="shared" si="2"/>
        <v>0</v>
      </c>
      <c r="G51" s="175">
        <f t="shared" si="2"/>
        <v>0</v>
      </c>
      <c r="H51" s="175">
        <f t="shared" si="2"/>
        <v>0</v>
      </c>
      <c r="I51" s="175">
        <f t="shared" si="2"/>
        <v>0</v>
      </c>
      <c r="J51" s="175"/>
      <c r="L51" s="43"/>
    </row>
    <row r="52" spans="2:24" s="20" customFormat="1" ht="6" customHeight="1">
      <c r="B52" s="363"/>
      <c r="C52" s="363"/>
      <c r="D52" s="363"/>
      <c r="E52" s="363"/>
      <c r="F52" s="363"/>
      <c r="G52" s="363"/>
      <c r="H52" s="363"/>
      <c r="I52" s="363"/>
      <c r="J52" s="364"/>
      <c r="L52" s="43"/>
    </row>
    <row r="53" spans="2:24" s="20" customFormat="1" ht="15.75">
      <c r="B53" s="365" t="s">
        <v>413</v>
      </c>
      <c r="C53" s="32">
        <f>'7-ResulatsSimulation'!C54-'2_C_Financier'!C60</f>
        <v>0</v>
      </c>
      <c r="D53" s="32">
        <f>'7-ResulatsSimulation'!D54-'2_C_Financier'!D60</f>
        <v>0</v>
      </c>
      <c r="E53" s="32">
        <f>'7-ResulatsSimulation'!E54-'2_C_Financier'!E60</f>
        <v>0</v>
      </c>
      <c r="F53" s="32">
        <f>'7-ResulatsSimulation'!F54-'2_C_Financier'!F60</f>
        <v>0</v>
      </c>
      <c r="G53" s="32">
        <f>'7-ResulatsSimulation'!G54-'2_C_Financier'!G60</f>
        <v>0</v>
      </c>
      <c r="H53" s="32">
        <f>'7-ResulatsSimulation'!H54-'2_C_Financier'!H60</f>
        <v>0</v>
      </c>
      <c r="I53" s="32">
        <f>'7-ResulatsSimulation'!I54-'2_C_Financier'!I60</f>
        <v>0</v>
      </c>
      <c r="J53" s="131"/>
      <c r="L53" s="43"/>
    </row>
    <row r="54" spans="2:24" s="20" customFormat="1" ht="27.75" outlineLevel="1">
      <c r="B54" s="33" t="s">
        <v>414</v>
      </c>
      <c r="C54" s="32"/>
      <c r="D54" s="32">
        <f>'7-ResulatsSimulation'!D55-'2_C_Financier'!D61</f>
        <v>0</v>
      </c>
      <c r="E54" s="32">
        <f>'7-ResulatsSimulation'!E55-'2_C_Financier'!E61</f>
        <v>0</v>
      </c>
      <c r="F54" s="32">
        <f>'7-ResulatsSimulation'!F55-'2_C_Financier'!F61</f>
        <v>0</v>
      </c>
      <c r="G54" s="32">
        <f>'7-ResulatsSimulation'!G55-'2_C_Financier'!G61</f>
        <v>0</v>
      </c>
      <c r="H54" s="32">
        <f>'7-ResulatsSimulation'!H55-'2_C_Financier'!H61</f>
        <v>0</v>
      </c>
      <c r="I54" s="32">
        <f>'7-ResulatsSimulation'!I55-'2_C_Financier'!I61</f>
        <v>0</v>
      </c>
      <c r="J54" s="131"/>
      <c r="L54" s="43"/>
    </row>
    <row r="55" spans="2:24" s="20" customFormat="1" ht="15.75" thickBot="1">
      <c r="B55" s="366" t="s">
        <v>411</v>
      </c>
      <c r="C55" s="367">
        <f>ROUND(SUM(C51,C53,C54),6)</f>
        <v>0</v>
      </c>
      <c r="D55" s="367">
        <f t="shared" ref="D55" si="3">ROUND(SUM(D51,D53,D54),6)</f>
        <v>0</v>
      </c>
      <c r="E55" s="367">
        <f>ROUND(SUM(E51,E53,E54),6)</f>
        <v>0</v>
      </c>
      <c r="F55" s="367">
        <f>ROUND(SUM(F51,F53,F54),6)</f>
        <v>0</v>
      </c>
      <c r="G55" s="367">
        <f>ROUND(SUM(G51,G53,G54),6)</f>
        <v>0</v>
      </c>
      <c r="H55" s="367">
        <f>ROUND(SUM(H51,H53,H54),6)</f>
        <v>0</v>
      </c>
      <c r="I55" s="367">
        <f>ROUND(SUM(I51,I53,I54),6)</f>
        <v>0</v>
      </c>
      <c r="J55" s="368"/>
      <c r="L55" s="43"/>
      <c r="N55" s="20" t="str">
        <f>IF(OR(E55&lt;-1839,F55&lt;0,G55&lt;0,H55&lt;0,I55&lt;-250),"La Loi sur l'équilibre budgétaire n'est pas respectée. Ces révisions donnent des soldes qui ne respectent pas le Plan de retour à l'équilibre budgétaire","La Loi sur l'équilibre budgétaire est respectée")</f>
        <v>La Loi sur l'équilibre budgétaire est respectée</v>
      </c>
    </row>
    <row r="56" spans="2:24" s="20" customFormat="1" ht="43.5" customHeight="1">
      <c r="B56" s="439" t="s">
        <v>399</v>
      </c>
      <c r="C56" s="439"/>
      <c r="D56" s="439"/>
      <c r="E56" s="439"/>
      <c r="F56" s="439"/>
      <c r="G56" s="439"/>
      <c r="H56" s="439"/>
      <c r="I56" s="439"/>
      <c r="J56" s="439"/>
      <c r="L56" s="43"/>
    </row>
    <row r="57" spans="2:24" s="20" customFormat="1" ht="15">
      <c r="B57" s="36"/>
      <c r="C57" s="36"/>
      <c r="D57" s="36"/>
      <c r="E57" s="36"/>
      <c r="F57" s="36"/>
      <c r="G57" s="36"/>
      <c r="H57" s="36"/>
      <c r="I57" s="36"/>
      <c r="J57" s="36"/>
      <c r="L57" s="43"/>
      <c r="O57" s="109"/>
      <c r="W57" s="109"/>
      <c r="X57" s="109"/>
    </row>
    <row r="58" spans="2:24" s="20" customFormat="1" ht="16.5" customHeight="1">
      <c r="B58" s="396" t="s">
        <v>199</v>
      </c>
      <c r="C58" s="396"/>
      <c r="D58" s="396"/>
      <c r="E58" s="396"/>
      <c r="F58" s="396"/>
      <c r="G58" s="396"/>
      <c r="H58" s="397"/>
      <c r="I58" s="139"/>
      <c r="J58" s="36"/>
      <c r="L58" s="43"/>
    </row>
    <row r="59" spans="2:24" s="20" customFormat="1" ht="16.5" thickBot="1">
      <c r="B59" s="398" t="s">
        <v>385</v>
      </c>
      <c r="C59" s="398"/>
      <c r="D59" s="398"/>
      <c r="E59" s="398"/>
      <c r="F59" s="398"/>
      <c r="G59" s="398"/>
      <c r="H59" s="399"/>
      <c r="I59" s="139"/>
      <c r="J59" s="36"/>
      <c r="L59" s="43"/>
    </row>
    <row r="60" spans="2:24" s="20" customFormat="1" ht="15">
      <c r="B60" s="44"/>
      <c r="C60" s="44"/>
      <c r="D60" s="45" t="s">
        <v>57</v>
      </c>
      <c r="E60" s="45" t="s">
        <v>58</v>
      </c>
      <c r="F60" s="45" t="s">
        <v>180</v>
      </c>
      <c r="G60" s="45" t="s">
        <v>181</v>
      </c>
      <c r="H60" s="45" t="s">
        <v>182</v>
      </c>
      <c r="I60" s="45" t="s">
        <v>183</v>
      </c>
      <c r="J60" s="36"/>
      <c r="L60" s="43"/>
    </row>
    <row r="61" spans="2:24" s="20" customFormat="1" ht="15">
      <c r="B61" s="137" t="s">
        <v>200</v>
      </c>
      <c r="C61" s="138"/>
      <c r="D61" s="138">
        <f>'7-ResulatsSimulation'!D70-'2_C_Financier'!D72</f>
        <v>0</v>
      </c>
      <c r="E61" s="138">
        <f>'7-ResulatsSimulation'!E70-'2_C_Financier'!E72</f>
        <v>0</v>
      </c>
      <c r="F61" s="138">
        <f>'7-ResulatsSimulation'!F70-'2_C_Financier'!F72</f>
        <v>0</v>
      </c>
      <c r="G61" s="138">
        <f>'7-ResulatsSimulation'!G70-'2_C_Financier'!G72</f>
        <v>0</v>
      </c>
      <c r="H61" s="138">
        <f>'7-ResulatsSimulation'!H70-'2_C_Financier'!H72</f>
        <v>0</v>
      </c>
      <c r="I61" s="138">
        <f>'7-ResulatsSimulation'!I70-'2_C_Financier'!I72</f>
        <v>0</v>
      </c>
      <c r="J61" s="36"/>
      <c r="L61" s="43"/>
    </row>
    <row r="62" spans="2:24" s="20" customFormat="1" ht="15.75" thickBot="1">
      <c r="B62" s="182" t="s">
        <v>47</v>
      </c>
      <c r="C62" s="182"/>
      <c r="D62" s="183">
        <f>IFERROR(D67/('1_Economique'!E10*1000)*100,0)</f>
        <v>0</v>
      </c>
      <c r="E62" s="183">
        <f>IFERROR(E67/('1_Economique'!F10)*100,0)</f>
        <v>0</v>
      </c>
      <c r="F62" s="183">
        <f>IFERROR(F67/('1_Economique'!G10)*100,0)</f>
        <v>0</v>
      </c>
      <c r="G62" s="183">
        <f>IFERROR(G67/('1_Economique'!H10)*100,0)</f>
        <v>0</v>
      </c>
      <c r="H62" s="183">
        <f>IFERROR(H67/('1_Economique'!I10)*100,0)</f>
        <v>0</v>
      </c>
      <c r="I62" s="183">
        <f>IFERROR(I67/('1_Economique'!J10)*100,0)</f>
        <v>0</v>
      </c>
      <c r="J62" s="36"/>
      <c r="L62" s="43"/>
    </row>
    <row r="63" spans="2:24" s="20" customFormat="1" ht="15">
      <c r="B63" s="36"/>
      <c r="C63" s="36"/>
      <c r="D63" s="36"/>
      <c r="E63" s="36"/>
      <c r="F63" s="36"/>
      <c r="G63" s="36"/>
      <c r="H63" s="36"/>
      <c r="I63" s="36"/>
      <c r="J63" s="36"/>
      <c r="L63" s="43"/>
      <c r="O63" s="109"/>
      <c r="W63" s="109"/>
      <c r="X63" s="109"/>
    </row>
    <row r="64" spans="2:24" s="20" customFormat="1" ht="16.5">
      <c r="B64" s="396" t="s">
        <v>198</v>
      </c>
      <c r="C64" s="396"/>
      <c r="D64" s="396"/>
      <c r="E64" s="396"/>
      <c r="F64" s="396"/>
      <c r="G64" s="396"/>
      <c r="H64" s="397"/>
      <c r="I64" s="36"/>
      <c r="J64" s="36"/>
      <c r="L64" s="43"/>
    </row>
    <row r="65" spans="1:12" s="20" customFormat="1" ht="16.5" thickBot="1">
      <c r="B65" s="398" t="s">
        <v>385</v>
      </c>
      <c r="C65" s="398"/>
      <c r="D65" s="398"/>
      <c r="E65" s="398"/>
      <c r="F65" s="398"/>
      <c r="G65" s="398"/>
      <c r="H65" s="399"/>
      <c r="I65" s="36"/>
      <c r="J65" s="36"/>
      <c r="L65" s="43"/>
    </row>
    <row r="66" spans="1:12" s="20" customFormat="1" ht="15">
      <c r="B66" s="44"/>
      <c r="C66" s="44"/>
      <c r="D66" s="45" t="s">
        <v>57</v>
      </c>
      <c r="E66" s="45" t="s">
        <v>58</v>
      </c>
      <c r="F66" s="45" t="s">
        <v>180</v>
      </c>
      <c r="G66" s="45" t="s">
        <v>181</v>
      </c>
      <c r="H66" s="45" t="s">
        <v>182</v>
      </c>
      <c r="I66" s="45" t="s">
        <v>183</v>
      </c>
      <c r="J66" s="36"/>
      <c r="L66" s="43"/>
    </row>
    <row r="67" spans="1:12" s="20" customFormat="1" ht="15">
      <c r="B67" s="137" t="s">
        <v>197</v>
      </c>
      <c r="C67" s="138"/>
      <c r="D67" s="138">
        <f>'7-ResulatsSimulation'!D83-'7-ResulatsSimulation'!D77</f>
        <v>0</v>
      </c>
      <c r="E67" s="138">
        <f>'7-ResulatsSimulation'!E83-'7-ResulatsSimulation'!E77</f>
        <v>0</v>
      </c>
      <c r="F67" s="138">
        <f>'7-ResulatsSimulation'!F83-'7-ResulatsSimulation'!F77</f>
        <v>0</v>
      </c>
      <c r="G67" s="138">
        <f>'7-ResulatsSimulation'!G83-'7-ResulatsSimulation'!G77</f>
        <v>0</v>
      </c>
      <c r="H67" s="138">
        <f>'7-ResulatsSimulation'!H83-'7-ResulatsSimulation'!H77</f>
        <v>0</v>
      </c>
      <c r="I67" s="138">
        <f>'7-ResulatsSimulation'!I83-'7-ResulatsSimulation'!I77</f>
        <v>0</v>
      </c>
      <c r="J67" s="36"/>
      <c r="L67" s="43"/>
    </row>
    <row r="68" spans="1:12" s="20" customFormat="1" ht="15.75" thickBot="1">
      <c r="B68" s="182" t="s">
        <v>47</v>
      </c>
      <c r="C68" s="182"/>
      <c r="D68" s="183">
        <f>IFERROR(D67/('1_Economique'!E10)*100,0)</f>
        <v>0</v>
      </c>
      <c r="E68" s="183">
        <f>IFERROR(E67/('1_Economique'!F10)*100,0)</f>
        <v>0</v>
      </c>
      <c r="F68" s="183">
        <f>IFERROR(F67/('1_Economique'!G10)*100,0)</f>
        <v>0</v>
      </c>
      <c r="G68" s="183">
        <f>IFERROR(G67/('1_Economique'!H10)*100,0)</f>
        <v>0</v>
      </c>
      <c r="H68" s="183">
        <f>IFERROR(H67/('1_Economique'!I10)*100,0)</f>
        <v>0</v>
      </c>
      <c r="I68" s="183">
        <f>IFERROR(I67/('1_Economique'!J10)*100,0)</f>
        <v>0</v>
      </c>
      <c r="J68" s="36"/>
      <c r="L68" s="43"/>
    </row>
    <row r="69" spans="1:12" s="20" customFormat="1" ht="25.5" customHeight="1">
      <c r="B69" s="437" t="s">
        <v>395</v>
      </c>
      <c r="C69" s="437"/>
      <c r="D69" s="437"/>
      <c r="E69" s="437"/>
      <c r="F69" s="437"/>
      <c r="G69" s="437"/>
      <c r="H69" s="437"/>
      <c r="I69" s="437"/>
      <c r="J69" s="36"/>
      <c r="L69" s="43"/>
    </row>
    <row r="70" spans="1:12" s="20" customFormat="1" ht="15">
      <c r="J70" s="36"/>
      <c r="L70" s="43"/>
    </row>
    <row r="71" spans="1:12" ht="12.95" customHeight="1">
      <c r="A71" s="265"/>
      <c r="B71" s="265"/>
      <c r="C71" s="265"/>
      <c r="D71" s="265"/>
      <c r="E71" s="265"/>
      <c r="F71" s="265"/>
      <c r="G71" s="265"/>
      <c r="H71" s="265"/>
      <c r="I71" s="265"/>
      <c r="J71" s="265"/>
      <c r="K71" s="265"/>
    </row>
    <row r="72" spans="1:12">
      <c r="B72" s="107"/>
      <c r="C72" s="107"/>
      <c r="D72" s="78"/>
    </row>
    <row r="73" spans="1:12">
      <c r="B73" s="71"/>
      <c r="C73" s="72"/>
      <c r="D73" s="72"/>
      <c r="E73" s="72"/>
      <c r="F73" s="72"/>
      <c r="G73" s="72"/>
      <c r="H73" s="72"/>
      <c r="I73" s="72"/>
    </row>
    <row r="74" spans="1:12">
      <c r="B74" s="71"/>
      <c r="C74" s="72"/>
      <c r="D74" s="72"/>
      <c r="E74" s="72"/>
      <c r="F74" s="72"/>
      <c r="G74" s="72"/>
      <c r="H74" s="72"/>
      <c r="I74" s="72"/>
    </row>
    <row r="75" spans="1:12">
      <c r="B75" s="71"/>
      <c r="C75" s="72"/>
      <c r="D75" s="72"/>
      <c r="E75" s="72"/>
      <c r="F75" s="72"/>
      <c r="G75" s="72"/>
      <c r="H75" s="72"/>
      <c r="I75" s="72"/>
    </row>
    <row r="76" spans="1:12">
      <c r="B76" s="71"/>
      <c r="C76" s="72"/>
      <c r="D76" s="72"/>
      <c r="E76" s="72"/>
      <c r="F76" s="72"/>
      <c r="G76" s="72"/>
      <c r="H76" s="72"/>
      <c r="I76" s="72"/>
    </row>
    <row r="77" spans="1:12">
      <c r="B77" s="71"/>
      <c r="C77" s="72"/>
      <c r="D77" s="72"/>
      <c r="E77" s="72"/>
      <c r="F77" s="72"/>
      <c r="G77" s="72"/>
      <c r="H77" s="72"/>
      <c r="I77" s="72"/>
    </row>
    <row r="78" spans="1:12">
      <c r="B78" s="71"/>
      <c r="C78" s="72"/>
      <c r="D78" s="72"/>
      <c r="E78" s="72"/>
      <c r="F78" s="72"/>
      <c r="G78" s="72"/>
      <c r="H78" s="72"/>
      <c r="I78" s="72"/>
    </row>
    <row r="79" spans="1:12">
      <c r="B79" s="71"/>
      <c r="C79" s="72"/>
      <c r="D79" s="72"/>
      <c r="E79" s="72"/>
      <c r="F79" s="72"/>
      <c r="G79" s="72"/>
      <c r="H79" s="72"/>
      <c r="I79" s="72"/>
    </row>
    <row r="80" spans="1:12">
      <c r="B80" s="71"/>
      <c r="C80" s="72"/>
      <c r="D80" s="72"/>
      <c r="E80" s="72"/>
      <c r="F80" s="72"/>
      <c r="G80" s="72"/>
      <c r="H80" s="72"/>
      <c r="I80" s="72"/>
    </row>
    <row r="81" spans="2:9">
      <c r="B81" s="71"/>
      <c r="C81" s="72"/>
      <c r="D81" s="72"/>
      <c r="E81" s="72"/>
      <c r="F81" s="72"/>
      <c r="G81" s="72"/>
      <c r="H81" s="72"/>
      <c r="I81" s="72"/>
    </row>
    <row r="82" spans="2:9">
      <c r="B82" s="71"/>
      <c r="C82" s="72"/>
      <c r="D82" s="72"/>
      <c r="E82" s="72"/>
      <c r="F82" s="72"/>
      <c r="G82" s="72"/>
      <c r="H82" s="72"/>
      <c r="I82" s="72"/>
    </row>
    <row r="83" spans="2:9">
      <c r="B83" s="71"/>
      <c r="C83" s="72"/>
      <c r="D83" s="72"/>
      <c r="E83" s="72"/>
      <c r="F83" s="72"/>
      <c r="G83" s="72"/>
      <c r="H83" s="72"/>
      <c r="I83" s="72"/>
    </row>
    <row r="84" spans="2:9">
      <c r="B84" s="71"/>
      <c r="C84" s="72"/>
      <c r="D84" s="72"/>
      <c r="E84" s="72"/>
      <c r="F84" s="72"/>
      <c r="G84" s="72"/>
      <c r="H84" s="72"/>
      <c r="I84" s="72"/>
    </row>
    <row r="85" spans="2:9">
      <c r="B85" s="71"/>
      <c r="C85" s="72"/>
      <c r="D85" s="72"/>
      <c r="E85" s="72"/>
      <c r="F85" s="72"/>
      <c r="G85" s="72"/>
      <c r="H85" s="72"/>
      <c r="I85" s="72"/>
    </row>
    <row r="86" spans="2:9">
      <c r="B86" s="71"/>
      <c r="C86" s="72"/>
      <c r="D86" s="72"/>
      <c r="E86" s="72"/>
      <c r="F86" s="72"/>
      <c r="G86" s="72"/>
      <c r="H86" s="72"/>
      <c r="I86" s="72"/>
    </row>
    <row r="87" spans="2:9">
      <c r="B87" s="71"/>
      <c r="C87" s="72"/>
      <c r="D87" s="72"/>
      <c r="E87" s="72"/>
      <c r="F87" s="72"/>
      <c r="G87" s="72"/>
      <c r="H87" s="72"/>
      <c r="I87" s="72"/>
    </row>
    <row r="88" spans="2:9">
      <c r="B88" s="71"/>
      <c r="C88" s="72"/>
      <c r="D88" s="72"/>
      <c r="E88" s="72"/>
      <c r="F88" s="72"/>
      <c r="G88" s="72"/>
      <c r="H88" s="72"/>
      <c r="I88" s="72"/>
    </row>
    <row r="89" spans="2:9">
      <c r="B89" s="71"/>
      <c r="C89" s="72"/>
      <c r="D89" s="72"/>
      <c r="E89" s="72"/>
      <c r="F89" s="72"/>
      <c r="G89" s="72"/>
      <c r="H89" s="72"/>
      <c r="I89" s="72"/>
    </row>
    <row r="90" spans="2:9">
      <c r="B90" s="71"/>
      <c r="C90" s="72"/>
      <c r="D90" s="72"/>
      <c r="E90" s="72"/>
      <c r="F90" s="72"/>
      <c r="G90" s="72"/>
      <c r="H90" s="72"/>
      <c r="I90" s="72"/>
    </row>
    <row r="91" spans="2:9">
      <c r="B91" s="71"/>
      <c r="C91" s="72"/>
      <c r="D91" s="72"/>
      <c r="E91" s="72"/>
      <c r="F91" s="72"/>
      <c r="G91" s="72"/>
      <c r="H91" s="72"/>
      <c r="I91" s="72"/>
    </row>
    <row r="92" spans="2:9">
      <c r="B92" s="71"/>
      <c r="C92" s="72"/>
      <c r="D92" s="72"/>
      <c r="E92" s="72"/>
      <c r="F92" s="72"/>
      <c r="G92" s="72"/>
      <c r="H92" s="72"/>
      <c r="I92" s="72"/>
    </row>
    <row r="93" spans="2:9">
      <c r="B93" s="71"/>
      <c r="C93" s="72"/>
      <c r="D93" s="72"/>
      <c r="E93" s="72"/>
      <c r="F93" s="72"/>
      <c r="G93" s="72"/>
      <c r="H93" s="72"/>
      <c r="I93" s="72"/>
    </row>
    <row r="94" spans="2:9">
      <c r="B94" s="71"/>
      <c r="C94" s="72"/>
      <c r="D94" s="72"/>
      <c r="E94" s="72"/>
      <c r="F94" s="72"/>
      <c r="G94" s="72"/>
      <c r="H94" s="72"/>
      <c r="I94" s="72"/>
    </row>
    <row r="95" spans="2:9">
      <c r="B95" s="71"/>
      <c r="C95" s="72"/>
      <c r="D95" s="72"/>
      <c r="E95" s="72"/>
      <c r="F95" s="72"/>
      <c r="G95" s="72"/>
      <c r="H95" s="72"/>
      <c r="I95" s="72"/>
    </row>
    <row r="96" spans="2:9">
      <c r="B96" s="71"/>
      <c r="C96" s="72"/>
      <c r="D96" s="72"/>
      <c r="E96" s="72"/>
      <c r="F96" s="72"/>
      <c r="G96" s="72"/>
      <c r="H96" s="72"/>
      <c r="I96" s="72"/>
    </row>
  </sheetData>
  <sheetProtection sheet="1" insertRows="0" deleteRows="0"/>
  <mergeCells count="9">
    <mergeCell ref="B69:I69"/>
    <mergeCell ref="B3:J3"/>
    <mergeCell ref="B4:J4"/>
    <mergeCell ref="B56:J56"/>
    <mergeCell ref="C1:K1"/>
    <mergeCell ref="B65:H65"/>
    <mergeCell ref="B58:H58"/>
    <mergeCell ref="B59:H59"/>
    <mergeCell ref="B64:H64"/>
  </mergeCells>
  <phoneticPr fontId="103" type="noConversion"/>
  <conditionalFormatting sqref="B8:J19">
    <cfRule type="expression" dxfId="6" priority="16">
      <formula>#REF!</formula>
    </cfRule>
  </conditionalFormatting>
  <conditionalFormatting sqref="B23:J48">
    <cfRule type="expression" dxfId="5" priority="2">
      <formula>#REF!</formula>
    </cfRule>
  </conditionalFormatting>
  <conditionalFormatting sqref="E55">
    <cfRule type="cellIs" dxfId="4" priority="1" operator="lessThan">
      <formula>-1839</formula>
    </cfRule>
  </conditionalFormatting>
  <conditionalFormatting sqref="F55:H55">
    <cfRule type="cellIs" dxfId="3" priority="4" operator="lessThan">
      <formula>0</formula>
    </cfRule>
  </conditionalFormatting>
  <conditionalFormatting sqref="I55">
    <cfRule type="cellIs" dxfId="2" priority="3" operator="lessThan">
      <formula>-250</formula>
    </cfRule>
  </conditionalFormatting>
  <conditionalFormatting sqref="N55">
    <cfRule type="cellIs" dxfId="1" priority="7" operator="equal">
      <formula>"La Loi sur l'équilibre budgétaire est respectée"</formula>
    </cfRule>
    <cfRule type="cellIs" dxfId="0" priority="8" operator="equal">
      <formula>"La Loi sur l'équilibre budgétaire n'est pas respectée. Ces révisions donnent des soldes qui ne respectent pas le Plan de retour à l'équilibre budgétaire"</formula>
    </cfRule>
  </conditionalFormatting>
  <printOptions horizontalCentered="1"/>
  <pageMargins left="0.23622047244094491" right="0.23622047244094491" top="0.74803149606299213" bottom="0.86614173228346458" header="0.31496062992125984" footer="0.31496062992125984"/>
  <pageSetup scale="70" orientation="portrait" r:id="rId1"/>
  <headerFooter>
    <oddFooter>&amp;C
&amp;G&amp;RPage &amp;P de &amp;N</oddFooter>
  </headerFooter>
  <rowBreaks count="1" manualBreakCount="1">
    <brk id="56" max="10" man="1"/>
  </rowBreaks>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theme="1"/>
    <pageSetUpPr fitToPage="1"/>
  </sheetPr>
  <dimension ref="A1:E40"/>
  <sheetViews>
    <sheetView tabSelected="1" zoomScale="85" zoomScaleNormal="85" workbookViewId="0">
      <selection activeCell="F4" activeCellId="1" sqref="G8 F4"/>
    </sheetView>
  </sheetViews>
  <sheetFormatPr baseColWidth="10" defaultColWidth="11.42578125" defaultRowHeight="12.75"/>
  <cols>
    <col min="1" max="1" width="2.7109375" customWidth="1"/>
    <col min="2" max="2" width="3.5703125" customWidth="1"/>
    <col min="3" max="3" width="22" customWidth="1"/>
    <col min="4" max="4" width="71" customWidth="1"/>
    <col min="5" max="5" width="2.7109375" customWidth="1"/>
  </cols>
  <sheetData>
    <row r="1" spans="1:5" ht="45" customHeight="1">
      <c r="A1" s="262"/>
      <c r="B1" s="263"/>
      <c r="C1" s="263"/>
      <c r="D1" s="370" t="s">
        <v>372</v>
      </c>
      <c r="E1" s="371"/>
    </row>
    <row r="2" spans="1:5" ht="12" customHeight="1"/>
    <row r="3" spans="1:5" ht="35.25" customHeight="1">
      <c r="A3" s="372" t="s">
        <v>368</v>
      </c>
      <c r="B3" s="372"/>
      <c r="C3" s="372"/>
      <c r="D3" s="372"/>
      <c r="E3" s="372"/>
    </row>
    <row r="4" spans="1:5" ht="17.25" customHeight="1">
      <c r="B4" s="18"/>
      <c r="C4" s="18"/>
      <c r="D4" s="18"/>
      <c r="E4" s="18"/>
    </row>
    <row r="5" spans="1:5" ht="17.25" customHeight="1">
      <c r="B5" s="376" t="s">
        <v>55</v>
      </c>
      <c r="C5" s="376"/>
      <c r="D5" s="376"/>
      <c r="E5" s="376"/>
    </row>
    <row r="6" spans="1:5" ht="17.25" customHeight="1">
      <c r="B6" s="378"/>
      <c r="C6" s="378"/>
      <c r="D6" s="378"/>
      <c r="E6" s="378"/>
    </row>
    <row r="7" spans="1:5" ht="17.25" customHeight="1">
      <c r="B7" s="374" t="s">
        <v>367</v>
      </c>
      <c r="C7" s="374"/>
      <c r="D7" s="374"/>
      <c r="E7" s="162"/>
    </row>
    <row r="8" spans="1:5" ht="36" customHeight="1">
      <c r="B8" s="373" t="s">
        <v>357</v>
      </c>
      <c r="C8" s="373"/>
      <c r="D8" s="373"/>
      <c r="E8" s="160"/>
    </row>
    <row r="9" spans="1:5" ht="17.25" customHeight="1">
      <c r="B9" s="106"/>
      <c r="C9" s="106"/>
      <c r="D9" s="106"/>
      <c r="E9" s="106"/>
    </row>
    <row r="10" spans="1:5" ht="17.25" customHeight="1">
      <c r="B10" s="248" t="s">
        <v>43</v>
      </c>
      <c r="C10" s="377" t="s">
        <v>421</v>
      </c>
      <c r="D10" s="377"/>
      <c r="E10" s="106"/>
    </row>
    <row r="11" spans="1:5" ht="33" customHeight="1">
      <c r="B11" s="106"/>
      <c r="C11" s="379" t="s">
        <v>373</v>
      </c>
      <c r="D11" s="379"/>
      <c r="E11" s="106"/>
    </row>
    <row r="12" spans="1:5" ht="17.25" customHeight="1">
      <c r="B12" s="106"/>
      <c r="C12" s="160"/>
      <c r="D12" s="249"/>
      <c r="E12" s="106"/>
    </row>
    <row r="13" spans="1:5" ht="17.25" customHeight="1">
      <c r="B13" s="248" t="s">
        <v>42</v>
      </c>
      <c r="C13" s="377" t="s">
        <v>228</v>
      </c>
      <c r="D13" s="377"/>
    </row>
    <row r="14" spans="1:5" ht="28.5" customHeight="1">
      <c r="B14" s="106"/>
      <c r="C14" s="379" t="s">
        <v>374</v>
      </c>
      <c r="D14" s="379"/>
    </row>
    <row r="15" spans="1:5" ht="17.25">
      <c r="B15" s="106"/>
      <c r="C15" s="380"/>
      <c r="D15" s="380"/>
    </row>
    <row r="16" spans="1:5" ht="17.25" customHeight="1">
      <c r="B16" s="248" t="s">
        <v>44</v>
      </c>
      <c r="C16" s="377" t="s">
        <v>231</v>
      </c>
      <c r="D16" s="377"/>
    </row>
    <row r="17" spans="2:5" ht="44.25" customHeight="1">
      <c r="B17" s="106"/>
      <c r="C17" s="379" t="s">
        <v>354</v>
      </c>
      <c r="D17" s="379"/>
    </row>
    <row r="18" spans="2:5" ht="17.25">
      <c r="B18" s="106"/>
      <c r="C18" s="380"/>
      <c r="D18" s="380"/>
    </row>
    <row r="19" spans="2:5" ht="17.25" customHeight="1">
      <c r="B19" s="248" t="s">
        <v>45</v>
      </c>
      <c r="C19" s="377" t="s">
        <v>375</v>
      </c>
      <c r="D19" s="377"/>
    </row>
    <row r="20" spans="2:5" ht="61.5" customHeight="1">
      <c r="B20" s="106"/>
      <c r="C20" s="379" t="s">
        <v>380</v>
      </c>
      <c r="D20" s="379"/>
    </row>
    <row r="21" spans="2:5" ht="17.25">
      <c r="B21" s="106"/>
      <c r="C21" s="380"/>
      <c r="D21" s="380"/>
    </row>
    <row r="22" spans="2:5" ht="17.25" customHeight="1">
      <c r="B22" s="248" t="s">
        <v>177</v>
      </c>
      <c r="C22" s="377" t="s">
        <v>379</v>
      </c>
      <c r="D22" s="377"/>
    </row>
    <row r="23" spans="2:5" ht="74.25" customHeight="1">
      <c r="B23" s="106"/>
      <c r="C23" s="379" t="s">
        <v>381</v>
      </c>
      <c r="D23" s="379"/>
    </row>
    <row r="24" spans="2:5" ht="17.25">
      <c r="B24" s="106"/>
      <c r="C24" s="160"/>
      <c r="D24" s="160"/>
    </row>
    <row r="25" spans="2:5" ht="17.25">
      <c r="B25" s="106"/>
      <c r="C25" s="160"/>
      <c r="D25" s="160"/>
    </row>
    <row r="26" spans="2:5" ht="18">
      <c r="B26" s="375" t="s">
        <v>176</v>
      </c>
      <c r="C26" s="375"/>
      <c r="D26" s="375"/>
      <c r="E26" s="161"/>
    </row>
    <row r="27" spans="2:5" ht="60" customHeight="1">
      <c r="B27" s="384" t="s">
        <v>376</v>
      </c>
      <c r="C27" s="384"/>
      <c r="D27" s="384"/>
    </row>
    <row r="28" spans="2:5" ht="17.25">
      <c r="B28" s="252"/>
      <c r="C28" s="252"/>
      <c r="D28" s="252"/>
    </row>
    <row r="29" spans="2:5" ht="17.25" customHeight="1">
      <c r="B29" s="253" t="s">
        <v>179</v>
      </c>
      <c r="C29" s="383" t="s">
        <v>39</v>
      </c>
      <c r="D29" s="383"/>
    </row>
    <row r="30" spans="2:5" ht="30" customHeight="1">
      <c r="B30" s="254"/>
      <c r="C30" s="382" t="s">
        <v>418</v>
      </c>
      <c r="D30" s="382"/>
    </row>
    <row r="31" spans="2:5" ht="17.25" customHeight="1">
      <c r="B31" s="256"/>
      <c r="C31" s="385"/>
      <c r="D31" s="385"/>
    </row>
    <row r="32" spans="2:5" ht="17.25" customHeight="1">
      <c r="B32" s="253" t="s">
        <v>203</v>
      </c>
      <c r="C32" s="383" t="s">
        <v>178</v>
      </c>
      <c r="D32" s="383"/>
    </row>
    <row r="33" spans="1:5" ht="33" customHeight="1">
      <c r="B33" s="254"/>
      <c r="C33" s="382" t="s">
        <v>382</v>
      </c>
      <c r="D33" s="382"/>
    </row>
    <row r="34" spans="1:5" ht="17.25" customHeight="1">
      <c r="B34" s="256"/>
      <c r="C34" s="385"/>
      <c r="D34" s="385"/>
    </row>
    <row r="35" spans="1:5" ht="17.25" customHeight="1">
      <c r="B35" s="253" t="s">
        <v>351</v>
      </c>
      <c r="C35" s="383" t="s">
        <v>355</v>
      </c>
      <c r="D35" s="383"/>
    </row>
    <row r="36" spans="1:5" ht="27" customHeight="1">
      <c r="B36" s="256"/>
      <c r="C36" s="382" t="s">
        <v>383</v>
      </c>
      <c r="D36" s="382"/>
    </row>
    <row r="37" spans="1:5" ht="6.75" customHeight="1">
      <c r="B37" s="256"/>
      <c r="C37" s="255"/>
      <c r="D37" s="255"/>
    </row>
    <row r="38" spans="1:5" ht="6.75" customHeight="1">
      <c r="C38" s="359"/>
      <c r="D38" s="359"/>
    </row>
    <row r="39" spans="1:5" ht="43.5" customHeight="1">
      <c r="B39" s="19" t="s">
        <v>54</v>
      </c>
      <c r="C39" s="381" t="s">
        <v>377</v>
      </c>
      <c r="D39" s="381"/>
    </row>
    <row r="40" spans="1:5" ht="12.95" customHeight="1">
      <c r="A40" s="264"/>
      <c r="B40" s="264"/>
      <c r="C40" s="264"/>
      <c r="D40" s="264"/>
      <c r="E40" s="264"/>
    </row>
  </sheetData>
  <sheetProtection sheet="1" objects="1" scenarios="1"/>
  <mergeCells count="30">
    <mergeCell ref="C39:D39"/>
    <mergeCell ref="C30:D30"/>
    <mergeCell ref="C17:D17"/>
    <mergeCell ref="C14:D14"/>
    <mergeCell ref="C13:D13"/>
    <mergeCell ref="C15:D15"/>
    <mergeCell ref="C16:D16"/>
    <mergeCell ref="C29:D29"/>
    <mergeCell ref="B27:D27"/>
    <mergeCell ref="C32:D32"/>
    <mergeCell ref="C36:D36"/>
    <mergeCell ref="C35:D35"/>
    <mergeCell ref="C31:D31"/>
    <mergeCell ref="C33:D33"/>
    <mergeCell ref="C34:D34"/>
    <mergeCell ref="C18:D18"/>
    <mergeCell ref="D1:E1"/>
    <mergeCell ref="A3:E3"/>
    <mergeCell ref="B8:D8"/>
    <mergeCell ref="B7:D7"/>
    <mergeCell ref="B26:D26"/>
    <mergeCell ref="B5:E5"/>
    <mergeCell ref="C10:D10"/>
    <mergeCell ref="B6:E6"/>
    <mergeCell ref="C11:D11"/>
    <mergeCell ref="C19:D19"/>
    <mergeCell ref="C20:D20"/>
    <mergeCell ref="C21:D21"/>
    <mergeCell ref="C22:D22"/>
    <mergeCell ref="C23:D23"/>
  </mergeCells>
  <hyperlinks>
    <hyperlink ref="B13:C13" location="C_Financier!A1" display="1." xr:uid="{00000000-0004-0000-0000-000000000000}"/>
    <hyperlink ref="B29:C29" location="Simulation!A1" display="4." xr:uid="{00000000-0004-0000-0000-000003000000}"/>
    <hyperlink ref="B16:C16" location="Simulation!A1" display="4." xr:uid="{00000000-0004-0000-0000-000004000000}"/>
    <hyperlink ref="B16" location="'3-PQI'!A1" display="3." xr:uid="{00000000-0004-0000-0000-000005000000}"/>
    <hyperlink ref="C16:D16" location="'3-PQI'!A1" display="Investissements du Plan québécois des infrastructures 2026-2036" xr:uid="{00000000-0004-0000-0000-000006000000}"/>
    <hyperlink ref="B10:C10" location="Economique!A1" display="3." xr:uid="{553DD435-48DA-44FC-B5E2-BBB5C58123E6}"/>
    <hyperlink ref="B32:C32" location="Simulation!A1" display="4." xr:uid="{34D005B3-FE30-42D7-BC61-AFA70B90E686}"/>
    <hyperlink ref="B35:C35" location="Simulation!A1" display="4." xr:uid="{4DF7A6E4-E4EE-410E-8CC1-DA2011D6A4F5}"/>
    <hyperlink ref="B19:C19" location="Simulation!A1" display="4." xr:uid="{3CC0749C-CCBD-4ED1-9543-43BDA3AAB2BC}"/>
    <hyperlink ref="B19" location="'4-LoiEquilibreBudgetaire'!A1" display="4." xr:uid="{6DB5EDD8-5FFF-498A-B38E-82A2DF10034B}"/>
    <hyperlink ref="C19:D19" location="'4-LoiEquilibreBudgetaire'!A1" display="La Loi sur l’équilibre budgétaire" xr:uid="{1E1F65BE-4B8B-4CFD-819A-6A677EC5101F}"/>
    <hyperlink ref="B22:C22" location="Simulation!A1" display="4." xr:uid="{48BD1769-1196-41F0-B1F7-E5ACD2EA7C7D}"/>
    <hyperlink ref="B22" location="'5-AnalyseSensibilite'!A1" display="5." xr:uid="{0F4AA901-0B1B-4E2C-A2DD-5E506BD97A09}"/>
    <hyperlink ref="C22:D22" location="'5-AnalyseSensibilite'!A1" display="Les analyses de sensibilité" xr:uid="{CBCC7854-5DB1-4872-9F4F-316AE758C0A6}"/>
    <hyperlink ref="C10:D10" location="'1_Economique'!A1" display="Perspectives économiques au Québec de 2025 à 2030" xr:uid="{DE650EBD-289C-48B0-89B6-8DD2F07D966B}"/>
    <hyperlink ref="B10" location="'1_Economique'!A1" display="1." xr:uid="{95BFBF8F-C347-48BA-A7B4-09B6D94DE375}"/>
    <hyperlink ref="B13" location="'2_C_Financier'!A1" display="2." xr:uid="{0066657C-9908-49C0-975C-062D8C797C81}"/>
    <hyperlink ref="C13:D13" location="'2_C_Financier'!A1" display="Cadre financier de 2025-2026 à 2030-2031" xr:uid="{EFA9B747-ACB6-42A9-A9AD-C687031D0E2A}"/>
    <hyperlink ref="C29:D29" location="'6-Simulation'!A1" display="Simulation budgétaire" xr:uid="{660312A6-AE52-491C-8DFC-BCA71D1DC741}"/>
    <hyperlink ref="B29" location="'6-Simulation'!A1" display="6." xr:uid="{57761313-40A2-4908-AC79-67886B3A6B71}"/>
    <hyperlink ref="C32:D32" location="'7-ResulatsSimulation'!A1" display="Résultats de simulation" xr:uid="{E26E7C25-04EF-4949-B72F-BD0D9E25D490}"/>
    <hyperlink ref="B32" location="'7-ResulatsSimulation'!A1" display="7." xr:uid="{31E66E26-9B46-464D-BEFE-F79C687C05C0}"/>
    <hyperlink ref="C35:D35" location="'8-RevisionsCF_RPE'!A1" display="Révisions par rapport au rapport préélectoral" xr:uid="{C15EC01B-71B4-4CE7-9176-93C695B8E78E}"/>
    <hyperlink ref="B35" location="'8-RevisionsCF_RPE'!A1" display="8." xr:uid="{4A03F1AA-54B9-4516-9D68-A1EA4F45FBCF}"/>
  </hyperlinks>
  <printOptions horizontalCentered="1"/>
  <pageMargins left="0.23622047244094491" right="0.23622047244094491" top="0.74803149606299213" bottom="0.86614173228346458" header="0.31496062992125984" footer="0.31496062992125984"/>
  <pageSetup scale="70" orientation="portrait" r:id="rId1"/>
  <headerFooter>
    <oddFooter>&amp;C
&amp;G&amp;RPage &amp;P de &amp;N</oddFooter>
  </headerFooter>
  <rowBreaks count="1" manualBreakCount="1">
    <brk id="23"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8">
    <pageSetUpPr fitToPage="1"/>
  </sheetPr>
  <dimension ref="A1:K257"/>
  <sheetViews>
    <sheetView zoomScale="85" zoomScaleNormal="85" zoomScaleSheetLayoutView="70" zoomScalePageLayoutView="70" workbookViewId="0">
      <selection activeCell="J10" sqref="J10"/>
    </sheetView>
  </sheetViews>
  <sheetFormatPr baseColWidth="10" defaultColWidth="11.42578125" defaultRowHeight="13.5"/>
  <cols>
    <col min="1" max="1" width="2.7109375" style="20" customWidth="1"/>
    <col min="2" max="2" width="25.85546875" style="20" customWidth="1"/>
    <col min="3" max="3" width="17.85546875" style="20" customWidth="1"/>
    <col min="4" max="10" width="9.85546875" style="20" customWidth="1"/>
    <col min="11" max="11" width="2.7109375" style="20" customWidth="1"/>
    <col min="12" max="16384" width="11.42578125" style="20"/>
  </cols>
  <sheetData>
    <row r="1" spans="1:11" ht="45" customHeight="1">
      <c r="A1" s="268"/>
      <c r="B1" s="268"/>
      <c r="C1" s="386" t="s">
        <v>397</v>
      </c>
      <c r="D1" s="386"/>
      <c r="E1" s="386"/>
      <c r="F1" s="386"/>
      <c r="G1" s="386"/>
      <c r="H1" s="386"/>
      <c r="I1" s="386"/>
      <c r="J1" s="386"/>
      <c r="K1" s="386"/>
    </row>
    <row r="2" spans="1:11" ht="12" customHeight="1">
      <c r="A2" s="269"/>
      <c r="B2" s="390"/>
      <c r="C2" s="390"/>
      <c r="D2" s="390"/>
      <c r="E2" s="390"/>
      <c r="F2" s="390"/>
      <c r="G2" s="390"/>
      <c r="H2" s="390"/>
      <c r="I2" s="390"/>
      <c r="J2" s="390"/>
      <c r="K2" s="390"/>
    </row>
    <row r="4" spans="1:11" ht="15" customHeight="1">
      <c r="B4" s="391" t="s">
        <v>421</v>
      </c>
      <c r="C4" s="391"/>
      <c r="D4" s="391"/>
      <c r="E4" s="391"/>
      <c r="F4" s="391"/>
      <c r="G4" s="391"/>
      <c r="H4" s="391"/>
      <c r="I4" s="391"/>
      <c r="J4" s="391"/>
    </row>
    <row r="5" spans="1:11" ht="14.25" thickBot="1">
      <c r="B5" s="387" t="s">
        <v>0</v>
      </c>
      <c r="C5" s="387"/>
      <c r="D5" s="387"/>
      <c r="E5" s="387"/>
      <c r="F5" s="270"/>
      <c r="G5" s="270"/>
      <c r="H5" s="270"/>
      <c r="I5" s="270"/>
      <c r="J5" s="270"/>
    </row>
    <row r="6" spans="1:11" ht="36.75" customHeight="1">
      <c r="B6" s="271"/>
      <c r="C6" s="271"/>
      <c r="D6" s="272">
        <v>2024</v>
      </c>
      <c r="E6" s="272">
        <v>2025</v>
      </c>
      <c r="F6" s="272">
        <v>2026</v>
      </c>
      <c r="G6" s="272">
        <v>2027</v>
      </c>
      <c r="H6" s="272">
        <v>2028</v>
      </c>
      <c r="I6" s="272">
        <v>2029</v>
      </c>
      <c r="J6" s="272">
        <v>2030</v>
      </c>
    </row>
    <row r="7" spans="1:11">
      <c r="B7" s="388" t="s">
        <v>1</v>
      </c>
      <c r="C7" s="388"/>
      <c r="D7" s="388"/>
      <c r="E7" s="388"/>
      <c r="F7" s="388"/>
      <c r="G7" s="388"/>
      <c r="H7" s="388"/>
      <c r="I7" s="388"/>
      <c r="J7" s="388"/>
    </row>
    <row r="8" spans="1:11" ht="14.25">
      <c r="B8" s="389" t="s">
        <v>2</v>
      </c>
      <c r="C8" s="389"/>
      <c r="D8" s="273">
        <v>1.7</v>
      </c>
      <c r="E8" s="273">
        <v>0.6</v>
      </c>
      <c r="F8" s="273">
        <v>0.7</v>
      </c>
      <c r="G8" s="273">
        <v>1.4</v>
      </c>
      <c r="H8" s="273">
        <v>1.5</v>
      </c>
      <c r="I8" s="273">
        <v>1.5</v>
      </c>
      <c r="J8" s="273">
        <v>1.4</v>
      </c>
    </row>
    <row r="9" spans="1:11" ht="14.25">
      <c r="B9" s="389" t="s">
        <v>3</v>
      </c>
      <c r="C9" s="389"/>
      <c r="D9" s="273">
        <v>5.9</v>
      </c>
      <c r="E9" s="273">
        <v>4.7</v>
      </c>
      <c r="F9" s="273">
        <v>3.4</v>
      </c>
      <c r="G9" s="273">
        <v>3.4</v>
      </c>
      <c r="H9" s="273">
        <v>3.4</v>
      </c>
      <c r="I9" s="273">
        <v>3.4</v>
      </c>
      <c r="J9" s="273">
        <v>3.3</v>
      </c>
    </row>
    <row r="10" spans="1:11" ht="14.25">
      <c r="B10" s="389" t="s">
        <v>271</v>
      </c>
      <c r="C10" s="389"/>
      <c r="D10" s="274">
        <v>616771</v>
      </c>
      <c r="E10" s="274">
        <v>646015</v>
      </c>
      <c r="F10" s="274">
        <v>668118</v>
      </c>
      <c r="G10" s="274">
        <v>690743</v>
      </c>
      <c r="H10" s="274">
        <v>714417</v>
      </c>
      <c r="I10" s="274">
        <v>738598</v>
      </c>
      <c r="J10" s="274">
        <v>763255</v>
      </c>
    </row>
    <row r="11" spans="1:11" ht="13.5" customHeight="1">
      <c r="B11" s="388" t="s">
        <v>4</v>
      </c>
      <c r="C11" s="388"/>
      <c r="D11" s="388"/>
      <c r="E11" s="388"/>
      <c r="F11" s="388"/>
      <c r="G11" s="388"/>
      <c r="H11" s="388"/>
      <c r="I11" s="388"/>
      <c r="J11" s="388"/>
    </row>
    <row r="12" spans="1:11" ht="14.25">
      <c r="B12" s="389" t="s">
        <v>5</v>
      </c>
      <c r="C12" s="389"/>
      <c r="D12" s="273">
        <v>3.1</v>
      </c>
      <c r="E12" s="273">
        <v>1.9</v>
      </c>
      <c r="F12" s="273">
        <v>0.5</v>
      </c>
      <c r="G12" s="273">
        <v>1</v>
      </c>
      <c r="H12" s="273">
        <v>1</v>
      </c>
      <c r="I12" s="273">
        <v>1</v>
      </c>
      <c r="J12" s="273">
        <v>1.1000000000000001</v>
      </c>
    </row>
    <row r="13" spans="1:11" ht="14.25">
      <c r="B13" s="389" t="s">
        <v>6</v>
      </c>
      <c r="C13" s="389"/>
      <c r="D13" s="273">
        <v>2.5</v>
      </c>
      <c r="E13" s="273">
        <v>1.8</v>
      </c>
      <c r="F13" s="273">
        <v>1.1000000000000001</v>
      </c>
      <c r="G13" s="273">
        <v>1.6</v>
      </c>
      <c r="H13" s="273">
        <v>1.6</v>
      </c>
      <c r="I13" s="273">
        <v>1.5</v>
      </c>
      <c r="J13" s="273">
        <v>1.4</v>
      </c>
    </row>
    <row r="14" spans="1:11" ht="14.25">
      <c r="B14" s="389" t="s">
        <v>7</v>
      </c>
      <c r="C14" s="389"/>
      <c r="D14" s="273">
        <v>2.5</v>
      </c>
      <c r="E14" s="273">
        <v>2.2000000000000002</v>
      </c>
      <c r="F14" s="273">
        <v>0.1</v>
      </c>
      <c r="G14" s="273">
        <v>0.3</v>
      </c>
      <c r="H14" s="273">
        <v>0.5</v>
      </c>
      <c r="I14" s="273">
        <v>0.5</v>
      </c>
      <c r="J14" s="273">
        <v>0.9</v>
      </c>
    </row>
    <row r="15" spans="1:11" ht="14.25">
      <c r="B15" s="389" t="s">
        <v>8</v>
      </c>
      <c r="C15" s="389"/>
      <c r="D15" s="273">
        <v>5.9</v>
      </c>
      <c r="E15" s="273">
        <v>6.6</v>
      </c>
      <c r="F15" s="273">
        <v>-1.9</v>
      </c>
      <c r="G15" s="273">
        <v>-1.7</v>
      </c>
      <c r="H15" s="273">
        <v>-3.1</v>
      </c>
      <c r="I15" s="273">
        <v>-2.8</v>
      </c>
      <c r="J15" s="273">
        <v>-1.9</v>
      </c>
    </row>
    <row r="16" spans="1:11" ht="14.25">
      <c r="B16" s="389" t="s">
        <v>9</v>
      </c>
      <c r="C16" s="389"/>
      <c r="D16" s="273">
        <v>5.5</v>
      </c>
      <c r="E16" s="273">
        <v>-0.8</v>
      </c>
      <c r="F16" s="273">
        <v>0.2</v>
      </c>
      <c r="G16" s="273">
        <v>1.7</v>
      </c>
      <c r="H16" s="273">
        <v>2.5</v>
      </c>
      <c r="I16" s="273">
        <v>2.2999999999999998</v>
      </c>
      <c r="J16" s="273">
        <v>2.2999999999999998</v>
      </c>
    </row>
    <row r="17" spans="2:10" ht="14.25">
      <c r="B17" s="389" t="s">
        <v>50</v>
      </c>
      <c r="C17" s="389"/>
      <c r="D17" s="273">
        <v>0.5</v>
      </c>
      <c r="E17" s="273">
        <v>-1.2</v>
      </c>
      <c r="F17" s="273">
        <v>-0.4</v>
      </c>
      <c r="G17" s="273">
        <v>1.9</v>
      </c>
      <c r="H17" s="273">
        <v>2</v>
      </c>
      <c r="I17" s="273">
        <v>2</v>
      </c>
      <c r="J17" s="273">
        <v>1.9</v>
      </c>
    </row>
    <row r="18" spans="2:10" ht="14.25">
      <c r="B18" s="389" t="s">
        <v>51</v>
      </c>
      <c r="C18" s="389"/>
      <c r="D18" s="273">
        <v>1.8</v>
      </c>
      <c r="E18" s="273">
        <v>1.5</v>
      </c>
      <c r="F18" s="273">
        <v>-0.5</v>
      </c>
      <c r="G18" s="273">
        <v>1.4</v>
      </c>
      <c r="H18" s="273">
        <v>1.4</v>
      </c>
      <c r="I18" s="273">
        <v>1.2</v>
      </c>
      <c r="J18" s="273">
        <v>1.2</v>
      </c>
    </row>
    <row r="19" spans="2:10">
      <c r="B19" s="388" t="s">
        <v>10</v>
      </c>
      <c r="C19" s="388"/>
      <c r="D19" s="388"/>
      <c r="E19" s="388"/>
      <c r="F19" s="388"/>
      <c r="G19" s="388"/>
      <c r="H19" s="388"/>
      <c r="I19" s="388"/>
      <c r="J19" s="388"/>
    </row>
    <row r="20" spans="2:10" ht="14.25">
      <c r="B20" s="389" t="s">
        <v>11</v>
      </c>
      <c r="C20" s="389"/>
      <c r="D20" s="274">
        <v>8995</v>
      </c>
      <c r="E20" s="274">
        <v>9058</v>
      </c>
      <c r="F20" s="274">
        <v>9025</v>
      </c>
      <c r="G20" s="274">
        <v>9005</v>
      </c>
      <c r="H20" s="274">
        <v>8992</v>
      </c>
      <c r="I20" s="274">
        <v>8987</v>
      </c>
      <c r="J20" s="274">
        <v>8994</v>
      </c>
    </row>
    <row r="21" spans="2:10" ht="26.25" customHeight="1">
      <c r="B21" s="389" t="s">
        <v>272</v>
      </c>
      <c r="C21" s="389"/>
      <c r="D21" s="274">
        <v>7435</v>
      </c>
      <c r="E21" s="274">
        <v>7579</v>
      </c>
      <c r="F21" s="274">
        <v>7584</v>
      </c>
      <c r="G21" s="274">
        <v>7579</v>
      </c>
      <c r="H21" s="274">
        <v>7583</v>
      </c>
      <c r="I21" s="274">
        <v>7594</v>
      </c>
      <c r="J21" s="274">
        <v>7617</v>
      </c>
    </row>
    <row r="22" spans="2:10" ht="14.25">
      <c r="B22" s="389" t="s">
        <v>12</v>
      </c>
      <c r="C22" s="389"/>
      <c r="D22" s="274">
        <v>4566</v>
      </c>
      <c r="E22" s="274">
        <v>4645</v>
      </c>
      <c r="F22" s="274">
        <v>4629</v>
      </c>
      <c r="G22" s="274">
        <v>4652</v>
      </c>
      <c r="H22" s="274">
        <v>4667</v>
      </c>
      <c r="I22" s="274">
        <v>4682</v>
      </c>
      <c r="J22" s="274">
        <v>4697</v>
      </c>
    </row>
    <row r="23" spans="2:10" ht="14.25">
      <c r="B23" s="389" t="s">
        <v>13</v>
      </c>
      <c r="C23" s="389"/>
      <c r="D23" s="273">
        <v>43.2</v>
      </c>
      <c r="E23" s="273">
        <v>78.8</v>
      </c>
      <c r="F23" s="273">
        <v>-15.4</v>
      </c>
      <c r="G23" s="273">
        <v>22.6</v>
      </c>
      <c r="H23" s="273">
        <v>15.1</v>
      </c>
      <c r="I23" s="273">
        <v>15.3</v>
      </c>
      <c r="J23" s="273">
        <v>14.7</v>
      </c>
    </row>
    <row r="24" spans="2:10" ht="14.25">
      <c r="B24" s="389" t="s">
        <v>273</v>
      </c>
      <c r="C24" s="389"/>
      <c r="D24" s="273">
        <v>5.3</v>
      </c>
      <c r="E24" s="273">
        <v>5.6</v>
      </c>
      <c r="F24" s="273">
        <v>5.6</v>
      </c>
      <c r="G24" s="273">
        <v>4.9000000000000004</v>
      </c>
      <c r="H24" s="273">
        <v>4.3</v>
      </c>
      <c r="I24" s="273">
        <v>4.0999999999999996</v>
      </c>
      <c r="J24" s="273">
        <v>4.0999999999999996</v>
      </c>
    </row>
    <row r="25" spans="2:10" ht="13.5" customHeight="1">
      <c r="B25" s="388" t="s">
        <v>14</v>
      </c>
      <c r="C25" s="388"/>
      <c r="D25" s="388"/>
      <c r="E25" s="388"/>
      <c r="F25" s="388"/>
      <c r="G25" s="388"/>
      <c r="H25" s="388"/>
      <c r="I25" s="388"/>
      <c r="J25" s="388"/>
    </row>
    <row r="26" spans="2:10" ht="14.25">
      <c r="B26" s="389" t="s">
        <v>15</v>
      </c>
      <c r="C26" s="389"/>
      <c r="D26" s="273">
        <v>5.0999999999999996</v>
      </c>
      <c r="E26" s="273">
        <v>4.5999999999999996</v>
      </c>
      <c r="F26" s="273">
        <v>4.3</v>
      </c>
      <c r="G26" s="273">
        <v>3.7</v>
      </c>
      <c r="H26" s="273">
        <v>3.4</v>
      </c>
      <c r="I26" s="273">
        <v>3.3</v>
      </c>
      <c r="J26" s="273">
        <v>3.2</v>
      </c>
    </row>
    <row r="27" spans="2:10" ht="14.25">
      <c r="B27" s="389" t="s">
        <v>277</v>
      </c>
      <c r="C27" s="389"/>
      <c r="D27" s="273">
        <v>4.0999999999999996</v>
      </c>
      <c r="E27" s="273">
        <v>3</v>
      </c>
      <c r="F27" s="273">
        <v>3.5</v>
      </c>
      <c r="G27" s="273">
        <v>3.4</v>
      </c>
      <c r="H27" s="273">
        <v>3.1</v>
      </c>
      <c r="I27" s="273">
        <v>3.1</v>
      </c>
      <c r="J27" s="273">
        <v>3</v>
      </c>
    </row>
    <row r="28" spans="2:10" ht="14.25">
      <c r="B28" s="389" t="s">
        <v>16</v>
      </c>
      <c r="C28" s="389"/>
      <c r="D28" s="273">
        <v>48.7</v>
      </c>
      <c r="E28" s="273">
        <v>59.9</v>
      </c>
      <c r="F28" s="273">
        <v>57</v>
      </c>
      <c r="G28" s="273">
        <v>49.5</v>
      </c>
      <c r="H28" s="273">
        <v>41.5</v>
      </c>
      <c r="I28" s="273">
        <v>36.9</v>
      </c>
      <c r="J28" s="273">
        <v>33.9</v>
      </c>
    </row>
    <row r="29" spans="2:10" ht="14.25">
      <c r="B29" s="389" t="s">
        <v>17</v>
      </c>
      <c r="C29" s="389"/>
      <c r="D29" s="273">
        <v>9.4</v>
      </c>
      <c r="E29" s="273">
        <v>13.1</v>
      </c>
      <c r="F29" s="273">
        <v>3.1</v>
      </c>
      <c r="G29" s="273">
        <v>0.7</v>
      </c>
      <c r="H29" s="273">
        <v>-0.6</v>
      </c>
      <c r="I29" s="273">
        <v>-0.5</v>
      </c>
      <c r="J29" s="273">
        <v>0.4</v>
      </c>
    </row>
    <row r="30" spans="2:10" ht="14.25" customHeight="1">
      <c r="B30" s="389" t="s">
        <v>18</v>
      </c>
      <c r="C30" s="389"/>
      <c r="D30" s="273">
        <v>9.1999999999999993</v>
      </c>
      <c r="E30" s="273">
        <v>3.1</v>
      </c>
      <c r="F30" s="273">
        <v>2.7</v>
      </c>
      <c r="G30" s="273">
        <v>4.7</v>
      </c>
      <c r="H30" s="273">
        <v>5.0999999999999996</v>
      </c>
      <c r="I30" s="273">
        <v>4.5</v>
      </c>
      <c r="J30" s="273">
        <v>4.5</v>
      </c>
    </row>
    <row r="31" spans="2:10" ht="14.25" customHeight="1">
      <c r="B31" s="389" t="s">
        <v>19</v>
      </c>
      <c r="C31" s="389"/>
      <c r="D31" s="273">
        <v>6</v>
      </c>
      <c r="E31" s="273">
        <v>4.5</v>
      </c>
      <c r="F31" s="273">
        <v>3.3</v>
      </c>
      <c r="G31" s="273">
        <v>3.5</v>
      </c>
      <c r="H31" s="273">
        <v>3.3</v>
      </c>
      <c r="I31" s="273">
        <v>3.1</v>
      </c>
      <c r="J31" s="273">
        <v>3.1</v>
      </c>
    </row>
    <row r="32" spans="2:10" ht="14.25" customHeight="1">
      <c r="B32" s="389" t="s">
        <v>20</v>
      </c>
      <c r="C32" s="389"/>
      <c r="D32" s="273">
        <v>7.1</v>
      </c>
      <c r="E32" s="273">
        <v>4.3</v>
      </c>
      <c r="F32" s="273">
        <v>3.6</v>
      </c>
      <c r="G32" s="273">
        <v>3.5</v>
      </c>
      <c r="H32" s="273">
        <v>3.3</v>
      </c>
      <c r="I32" s="273">
        <v>3.2</v>
      </c>
      <c r="J32" s="273">
        <v>3.3</v>
      </c>
    </row>
    <row r="33" spans="1:11" ht="14.25" customHeight="1">
      <c r="B33" s="389" t="s">
        <v>21</v>
      </c>
      <c r="C33" s="389"/>
      <c r="D33" s="273">
        <v>3.1</v>
      </c>
      <c r="E33" s="273">
        <v>3.5</v>
      </c>
      <c r="F33" s="273">
        <v>4.8</v>
      </c>
      <c r="G33" s="273">
        <v>1.1000000000000001</v>
      </c>
      <c r="H33" s="273">
        <v>3.3</v>
      </c>
      <c r="I33" s="273">
        <v>3.6</v>
      </c>
      <c r="J33" s="273">
        <v>3.7</v>
      </c>
    </row>
    <row r="34" spans="1:11" ht="14.25">
      <c r="B34" s="389" t="s">
        <v>49</v>
      </c>
      <c r="C34" s="389"/>
      <c r="D34" s="273">
        <v>2.2999999999999998</v>
      </c>
      <c r="E34" s="273">
        <v>2.4</v>
      </c>
      <c r="F34" s="273">
        <v>3</v>
      </c>
      <c r="G34" s="273">
        <v>2.1</v>
      </c>
      <c r="H34" s="273">
        <v>2</v>
      </c>
      <c r="I34" s="273">
        <v>2</v>
      </c>
      <c r="J34" s="273">
        <v>2</v>
      </c>
    </row>
    <row r="35" spans="1:11" ht="14.25">
      <c r="B35" s="389" t="s">
        <v>378</v>
      </c>
      <c r="C35" s="389"/>
      <c r="D35" s="273">
        <v>2.7</v>
      </c>
      <c r="E35" s="273">
        <v>2.7</v>
      </c>
      <c r="F35" s="273">
        <v>2.4</v>
      </c>
      <c r="G35" s="273">
        <v>2.1</v>
      </c>
      <c r="H35" s="273">
        <v>2</v>
      </c>
      <c r="I35" s="273">
        <v>1.9</v>
      </c>
      <c r="J35" s="273">
        <v>1.9</v>
      </c>
    </row>
    <row r="36" spans="1:11" ht="14.25">
      <c r="B36" s="389" t="s">
        <v>22</v>
      </c>
      <c r="C36" s="389"/>
      <c r="D36" s="274">
        <v>68565</v>
      </c>
      <c r="E36" s="274">
        <v>71317</v>
      </c>
      <c r="F36" s="274">
        <v>74027</v>
      </c>
      <c r="G36" s="274">
        <v>76706</v>
      </c>
      <c r="H36" s="274">
        <v>79449</v>
      </c>
      <c r="I36" s="274">
        <v>82187</v>
      </c>
      <c r="J36" s="274">
        <v>84861</v>
      </c>
    </row>
    <row r="37" spans="1:11" ht="15" thickBot="1">
      <c r="B37" s="389" t="s">
        <v>23</v>
      </c>
      <c r="C37" s="389"/>
      <c r="D37" s="275">
        <v>38426</v>
      </c>
      <c r="E37" s="275">
        <v>39604</v>
      </c>
      <c r="F37" s="275">
        <v>41393</v>
      </c>
      <c r="G37" s="275">
        <v>42961</v>
      </c>
      <c r="H37" s="275">
        <v>44445</v>
      </c>
      <c r="I37" s="275">
        <v>45893</v>
      </c>
      <c r="J37" s="275">
        <v>47369</v>
      </c>
    </row>
    <row r="38" spans="1:11" ht="13.5" customHeight="1">
      <c r="B38" s="392" t="s">
        <v>24</v>
      </c>
      <c r="C38" s="392"/>
      <c r="D38" s="392"/>
      <c r="E38" s="392"/>
      <c r="F38" s="392"/>
      <c r="G38" s="392"/>
      <c r="H38" s="392"/>
      <c r="I38" s="392"/>
      <c r="J38" s="392"/>
    </row>
    <row r="39" spans="1:11" ht="16.5" customHeight="1">
      <c r="B39" s="393"/>
      <c r="C39" s="393"/>
      <c r="D39" s="393"/>
      <c r="E39" s="393"/>
      <c r="F39" s="393"/>
      <c r="G39" s="393"/>
      <c r="H39" s="393"/>
      <c r="I39" s="393"/>
      <c r="J39" s="393"/>
    </row>
    <row r="40" spans="1:11">
      <c r="A40" s="265"/>
      <c r="B40" s="265"/>
      <c r="C40" s="265"/>
      <c r="D40" s="265"/>
      <c r="E40" s="265"/>
      <c r="F40" s="265"/>
      <c r="G40" s="265"/>
      <c r="H40" s="265"/>
      <c r="I40" s="265"/>
      <c r="J40" s="265"/>
      <c r="K40" s="265"/>
    </row>
    <row r="257" spans="2:4" ht="16.5">
      <c r="B257" s="38"/>
      <c r="C257" s="38"/>
      <c r="D257" s="38"/>
    </row>
  </sheetData>
  <sheetProtection sheet="1" objects="1" scenarios="1"/>
  <mergeCells count="36">
    <mergeCell ref="B31:C31"/>
    <mergeCell ref="B22:C22"/>
    <mergeCell ref="B38:J39"/>
    <mergeCell ref="B26:C26"/>
    <mergeCell ref="B37:C37"/>
    <mergeCell ref="B25:J25"/>
    <mergeCell ref="B32:C32"/>
    <mergeCell ref="B33:C33"/>
    <mergeCell ref="B34:C34"/>
    <mergeCell ref="B35:C35"/>
    <mergeCell ref="B36:C36"/>
    <mergeCell ref="B27:C27"/>
    <mergeCell ref="B28:C28"/>
    <mergeCell ref="B29:C29"/>
    <mergeCell ref="B30:C30"/>
    <mergeCell ref="B23:C23"/>
    <mergeCell ref="B18:C18"/>
    <mergeCell ref="B20:C20"/>
    <mergeCell ref="B21:C21"/>
    <mergeCell ref="B24:C24"/>
    <mergeCell ref="C1:K1"/>
    <mergeCell ref="B5:E5"/>
    <mergeCell ref="B7:J7"/>
    <mergeCell ref="B11:J11"/>
    <mergeCell ref="B19:J19"/>
    <mergeCell ref="B14:C14"/>
    <mergeCell ref="B13:C13"/>
    <mergeCell ref="B15:C15"/>
    <mergeCell ref="B16:C16"/>
    <mergeCell ref="B17:C17"/>
    <mergeCell ref="B2:K2"/>
    <mergeCell ref="B8:C8"/>
    <mergeCell ref="B9:C9"/>
    <mergeCell ref="B10:C10"/>
    <mergeCell ref="B12:C12"/>
    <mergeCell ref="B4:J4"/>
  </mergeCells>
  <printOptions horizontalCentered="1"/>
  <pageMargins left="0.23622047244094491" right="0.23622047244094491" top="0.74803149606299213" bottom="0.86614173228346458" header="0.31496062992125984" footer="0.31496062992125984"/>
  <pageSetup scale="96" orientation="portrait" r:id="rId1"/>
  <headerFooter>
    <oddFooter>&amp;C
&amp;G&amp;RPage &amp;P de &amp;N</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A1:M292"/>
  <sheetViews>
    <sheetView zoomScaleNormal="100" zoomScaleSheetLayoutView="85" workbookViewId="0">
      <selection activeCell="L5" sqref="L5"/>
    </sheetView>
  </sheetViews>
  <sheetFormatPr baseColWidth="10" defaultColWidth="11.42578125" defaultRowHeight="13.5" outlineLevelRow="1" outlineLevelCol="1"/>
  <cols>
    <col min="1" max="1" width="2.7109375" style="20" customWidth="1"/>
    <col min="2" max="2" width="31" style="20" customWidth="1"/>
    <col min="3" max="3" width="10.7109375" style="20" hidden="1" customWidth="1" outlineLevel="1"/>
    <col min="4" max="4" width="10.7109375" style="20" customWidth="1" collapsed="1"/>
    <col min="5" max="9" width="10.7109375" style="20" customWidth="1"/>
    <col min="10" max="10" width="11.5703125" style="20" customWidth="1"/>
    <col min="11" max="11" width="2.7109375" style="20" customWidth="1"/>
    <col min="12" max="12" width="11" style="20" customWidth="1"/>
    <col min="13" max="16384" width="11.42578125" style="20"/>
  </cols>
  <sheetData>
    <row r="1" spans="1:11" ht="45" customHeight="1">
      <c r="A1" s="266"/>
      <c r="B1" s="267"/>
      <c r="C1" s="394" t="s">
        <v>397</v>
      </c>
      <c r="D1" s="394"/>
      <c r="E1" s="394"/>
      <c r="F1" s="394"/>
      <c r="G1" s="394"/>
      <c r="H1" s="394"/>
      <c r="I1" s="394"/>
      <c r="J1" s="394"/>
      <c r="K1" s="395"/>
    </row>
    <row r="2" spans="1:11" ht="12" customHeight="1">
      <c r="B2" s="401"/>
      <c r="C2" s="401"/>
      <c r="D2" s="401"/>
      <c r="E2" s="401"/>
      <c r="F2" s="401"/>
      <c r="G2" s="401"/>
      <c r="H2" s="401"/>
      <c r="I2" s="401"/>
    </row>
    <row r="3" spans="1:11" ht="16.5" customHeight="1">
      <c r="A3" s="277"/>
      <c r="B3" s="396" t="s">
        <v>228</v>
      </c>
      <c r="C3" s="396"/>
      <c r="D3" s="396"/>
      <c r="E3" s="396"/>
      <c r="F3" s="396"/>
      <c r="G3" s="396"/>
      <c r="H3" s="396"/>
      <c r="I3" s="396"/>
      <c r="J3" s="397"/>
      <c r="K3" s="277"/>
    </row>
    <row r="4" spans="1:11" ht="15" customHeight="1" thickBot="1">
      <c r="A4" s="278"/>
      <c r="B4" s="402" t="s">
        <v>385</v>
      </c>
      <c r="C4" s="402"/>
      <c r="D4" s="402"/>
      <c r="E4" s="402"/>
      <c r="F4" s="402"/>
      <c r="G4" s="402"/>
      <c r="H4" s="402"/>
      <c r="I4" s="402"/>
      <c r="J4" s="399"/>
      <c r="K4" s="278"/>
    </row>
    <row r="5" spans="1:11" ht="38.25" customHeight="1">
      <c r="A5" s="279"/>
      <c r="B5" s="280"/>
      <c r="C5" s="21" t="s">
        <v>56</v>
      </c>
      <c r="D5" s="21" t="s">
        <v>57</v>
      </c>
      <c r="E5" s="21" t="s">
        <v>58</v>
      </c>
      <c r="F5" s="21" t="s">
        <v>180</v>
      </c>
      <c r="G5" s="21" t="s">
        <v>181</v>
      </c>
      <c r="H5" s="21" t="s">
        <v>182</v>
      </c>
      <c r="I5" s="21" t="s">
        <v>183</v>
      </c>
      <c r="J5" s="163" t="s">
        <v>187</v>
      </c>
      <c r="K5" s="279"/>
    </row>
    <row r="6" spans="1:11" ht="7.5" customHeight="1">
      <c r="A6" s="279"/>
      <c r="B6" s="281"/>
      <c r="C6" s="282"/>
      <c r="D6" s="283"/>
      <c r="E6" s="283"/>
      <c r="F6" s="283"/>
      <c r="G6" s="283"/>
      <c r="H6" s="283"/>
      <c r="I6" s="283"/>
      <c r="J6" s="284"/>
      <c r="K6" s="279"/>
    </row>
    <row r="7" spans="1:11" ht="14.25" customHeight="1">
      <c r="A7" s="285"/>
      <c r="B7" s="286" t="s">
        <v>73</v>
      </c>
      <c r="C7" s="287"/>
      <c r="D7" s="287"/>
      <c r="E7" s="287"/>
      <c r="F7" s="287"/>
      <c r="G7" s="287"/>
      <c r="H7" s="287"/>
      <c r="I7" s="288"/>
      <c r="J7" s="289"/>
      <c r="K7" s="285"/>
    </row>
    <row r="8" spans="1:11" ht="14.25" customHeight="1">
      <c r="A8" s="290"/>
      <c r="B8" s="291" t="s">
        <v>25</v>
      </c>
      <c r="C8" s="292">
        <v>45689</v>
      </c>
      <c r="D8" s="292">
        <v>48969</v>
      </c>
      <c r="E8" s="292">
        <v>50942</v>
      </c>
      <c r="F8" s="292">
        <v>52841</v>
      </c>
      <c r="G8" s="292">
        <v>54861</v>
      </c>
      <c r="H8" s="292">
        <v>56867</v>
      </c>
      <c r="I8" s="292">
        <v>59006</v>
      </c>
      <c r="J8" s="22">
        <f>(POWER(I8/D8,1/5)-1)*100</f>
        <v>3.7994346048477734</v>
      </c>
      <c r="K8" s="290"/>
    </row>
    <row r="9" spans="1:11" ht="14.25" customHeight="1">
      <c r="A9" s="290"/>
      <c r="B9" s="291" t="s">
        <v>26</v>
      </c>
      <c r="C9" s="292">
        <v>8852</v>
      </c>
      <c r="D9" s="292">
        <v>9304</v>
      </c>
      <c r="E9" s="292">
        <v>9538</v>
      </c>
      <c r="F9" s="292">
        <v>9876</v>
      </c>
      <c r="G9" s="292">
        <v>10327</v>
      </c>
      <c r="H9" s="292">
        <v>10628</v>
      </c>
      <c r="I9" s="292">
        <v>10962</v>
      </c>
      <c r="J9" s="22">
        <f t="shared" ref="J9" si="0">(POWER(I9/D9,1/5)-1)*100</f>
        <v>3.3341851608915452</v>
      </c>
      <c r="K9" s="290"/>
    </row>
    <row r="10" spans="1:11" ht="14.25" customHeight="1">
      <c r="A10" s="290"/>
      <c r="B10" s="291" t="s">
        <v>27</v>
      </c>
      <c r="C10" s="292">
        <v>13344</v>
      </c>
      <c r="D10" s="292">
        <v>14599</v>
      </c>
      <c r="E10" s="292">
        <v>14698</v>
      </c>
      <c r="F10" s="292">
        <v>15252</v>
      </c>
      <c r="G10" s="292">
        <v>15240</v>
      </c>
      <c r="H10" s="292">
        <v>15835</v>
      </c>
      <c r="I10" s="292">
        <v>16875</v>
      </c>
      <c r="J10" s="22">
        <f t="shared" ref="J10:J15" si="1">(POWER(I10/D10,1/5)-1)*100</f>
        <v>2.9399930486301296</v>
      </c>
      <c r="K10" s="290"/>
    </row>
    <row r="11" spans="1:11" ht="14.25" customHeight="1">
      <c r="A11" s="293"/>
      <c r="B11" s="291" t="s">
        <v>28</v>
      </c>
      <c r="C11" s="292">
        <v>1196</v>
      </c>
      <c r="D11" s="292">
        <v>1243</v>
      </c>
      <c r="E11" s="292">
        <v>1301</v>
      </c>
      <c r="F11" s="292">
        <v>1367</v>
      </c>
      <c r="G11" s="292">
        <v>1426</v>
      </c>
      <c r="H11" s="292">
        <v>1479</v>
      </c>
      <c r="I11" s="292">
        <v>1531</v>
      </c>
      <c r="J11" s="22">
        <f t="shared" si="1"/>
        <v>4.2559409742214394</v>
      </c>
      <c r="K11" s="293"/>
    </row>
    <row r="12" spans="1:11" ht="14.25" customHeight="1">
      <c r="A12" s="293"/>
      <c r="B12" s="291" t="s">
        <v>29</v>
      </c>
      <c r="C12" s="292">
        <v>28377</v>
      </c>
      <c r="D12" s="292">
        <v>29639</v>
      </c>
      <c r="E12" s="292">
        <v>30682</v>
      </c>
      <c r="F12" s="292">
        <v>31632</v>
      </c>
      <c r="G12" s="292">
        <v>32416</v>
      </c>
      <c r="H12" s="292">
        <v>33206</v>
      </c>
      <c r="I12" s="292">
        <v>34035</v>
      </c>
      <c r="J12" s="22">
        <f t="shared" si="1"/>
        <v>2.8045749087924232</v>
      </c>
      <c r="K12" s="293"/>
    </row>
    <row r="13" spans="1:11" ht="14.25" customHeight="1">
      <c r="A13" s="293"/>
      <c r="B13" s="291" t="s">
        <v>195</v>
      </c>
      <c r="C13" s="292">
        <v>6191</v>
      </c>
      <c r="D13" s="292">
        <v>6708</v>
      </c>
      <c r="E13" s="292">
        <v>6484</v>
      </c>
      <c r="F13" s="292">
        <v>6928</v>
      </c>
      <c r="G13" s="292">
        <v>7278</v>
      </c>
      <c r="H13" s="292">
        <v>7586</v>
      </c>
      <c r="I13" s="292">
        <v>7823</v>
      </c>
      <c r="J13" s="22">
        <f t="shared" si="1"/>
        <v>3.1231226348830798</v>
      </c>
      <c r="K13" s="293"/>
    </row>
    <row r="14" spans="1:11" ht="14.25" customHeight="1">
      <c r="A14" s="293"/>
      <c r="B14" s="291" t="s">
        <v>30</v>
      </c>
      <c r="C14" s="292">
        <v>16252</v>
      </c>
      <c r="D14" s="292">
        <v>14922</v>
      </c>
      <c r="E14" s="292">
        <v>15790</v>
      </c>
      <c r="F14" s="292">
        <v>16110</v>
      </c>
      <c r="G14" s="292">
        <v>16744</v>
      </c>
      <c r="H14" s="292">
        <v>17385</v>
      </c>
      <c r="I14" s="292">
        <v>17988</v>
      </c>
      <c r="J14" s="22">
        <f t="shared" si="1"/>
        <v>3.808082413933267</v>
      </c>
      <c r="K14" s="293"/>
    </row>
    <row r="15" spans="1:11" ht="14.25">
      <c r="A15" s="293"/>
      <c r="B15" s="291" t="s">
        <v>31</v>
      </c>
      <c r="C15" s="292">
        <v>5689</v>
      </c>
      <c r="D15" s="292">
        <v>5241</v>
      </c>
      <c r="E15" s="292">
        <v>5908</v>
      </c>
      <c r="F15" s="292">
        <v>6208</v>
      </c>
      <c r="G15" s="292">
        <v>6909</v>
      </c>
      <c r="H15" s="292">
        <v>6653</v>
      </c>
      <c r="I15" s="292">
        <v>7035</v>
      </c>
      <c r="J15" s="22">
        <f t="shared" si="1"/>
        <v>6.0644852055486087</v>
      </c>
      <c r="K15" s="293"/>
    </row>
    <row r="16" spans="1:11" ht="1.5" customHeight="1">
      <c r="A16" s="293"/>
      <c r="B16" s="291"/>
      <c r="C16" s="294"/>
      <c r="D16" s="294"/>
      <c r="E16" s="294"/>
      <c r="F16" s="294"/>
      <c r="G16" s="294"/>
      <c r="H16" s="294"/>
      <c r="I16" s="294"/>
      <c r="J16" s="295"/>
      <c r="K16" s="293"/>
    </row>
    <row r="17" spans="1:11" s="23" customFormat="1" ht="14.25" customHeight="1">
      <c r="A17" s="296"/>
      <c r="B17" s="297" t="s">
        <v>32</v>
      </c>
      <c r="C17" s="288">
        <f>SUM(C8:C15)</f>
        <v>125590</v>
      </c>
      <c r="D17" s="288">
        <f>SUM(D8:D15)</f>
        <v>130625</v>
      </c>
      <c r="E17" s="288">
        <f t="shared" ref="E17:I17" si="2">SUM(E8:E15)</f>
        <v>135343</v>
      </c>
      <c r="F17" s="288">
        <f t="shared" si="2"/>
        <v>140214</v>
      </c>
      <c r="G17" s="288">
        <f t="shared" si="2"/>
        <v>145201</v>
      </c>
      <c r="H17" s="288">
        <f t="shared" si="2"/>
        <v>149639</v>
      </c>
      <c r="I17" s="288">
        <f t="shared" si="2"/>
        <v>155255</v>
      </c>
      <c r="K17" s="296"/>
    </row>
    <row r="18" spans="1:11" s="24" customFormat="1" ht="14.25" customHeight="1">
      <c r="A18" s="293"/>
      <c r="B18" s="298" t="s">
        <v>33</v>
      </c>
      <c r="C18" s="299"/>
      <c r="D18" s="299">
        <f t="shared" ref="D18:I18" si="3">(((D17-C17)/C17))*100</f>
        <v>4.0090771558245084</v>
      </c>
      <c r="E18" s="299">
        <f t="shared" si="3"/>
        <v>3.6118660287081341</v>
      </c>
      <c r="F18" s="299">
        <f t="shared" si="3"/>
        <v>3.5990040120286975</v>
      </c>
      <c r="G18" s="299">
        <f t="shared" si="3"/>
        <v>3.5567061776998017</v>
      </c>
      <c r="H18" s="299">
        <f t="shared" si="3"/>
        <v>3.0564527792508316</v>
      </c>
      <c r="I18" s="299">
        <f t="shared" si="3"/>
        <v>3.7530322977298698</v>
      </c>
      <c r="J18" s="299">
        <f>(POWER(I17/D17,1/5)-1)*100</f>
        <v>3.515136327940116</v>
      </c>
      <c r="K18" s="293"/>
    </row>
    <row r="19" spans="1:11" s="24" customFormat="1" ht="6" customHeight="1">
      <c r="A19" s="293"/>
      <c r="B19" s="298"/>
      <c r="C19" s="299"/>
      <c r="D19" s="299"/>
      <c r="E19" s="299"/>
      <c r="F19" s="299"/>
      <c r="G19" s="299"/>
      <c r="H19" s="299"/>
      <c r="I19" s="299"/>
      <c r="J19" s="300"/>
      <c r="K19" s="293"/>
    </row>
    <row r="20" spans="1:11" ht="14.25" customHeight="1">
      <c r="A20" s="296"/>
      <c r="B20" s="297" t="s">
        <v>34</v>
      </c>
      <c r="C20" s="288">
        <v>30498</v>
      </c>
      <c r="D20" s="288">
        <v>29803</v>
      </c>
      <c r="E20" s="288">
        <v>33046</v>
      </c>
      <c r="F20" s="288">
        <v>34011</v>
      </c>
      <c r="G20" s="288">
        <v>33643</v>
      </c>
      <c r="H20" s="288">
        <v>32802</v>
      </c>
      <c r="I20" s="288">
        <v>33757</v>
      </c>
      <c r="K20" s="296"/>
    </row>
    <row r="21" spans="1:11" s="25" customFormat="1" ht="14.25" customHeight="1">
      <c r="A21" s="290"/>
      <c r="B21" s="298" t="s">
        <v>33</v>
      </c>
      <c r="C21" s="299"/>
      <c r="D21" s="299">
        <f t="shared" ref="D21:I21" si="4">(((D20-C20)/C20))*100</f>
        <v>-2.2788379565873171</v>
      </c>
      <c r="E21" s="299">
        <f t="shared" si="4"/>
        <v>10.881454887091904</v>
      </c>
      <c r="F21" s="299">
        <f t="shared" si="4"/>
        <v>2.9201718816195608</v>
      </c>
      <c r="G21" s="299">
        <f t="shared" si="4"/>
        <v>-1.0820028814207168</v>
      </c>
      <c r="H21" s="299">
        <f t="shared" si="4"/>
        <v>-2.499777071010314</v>
      </c>
      <c r="I21" s="299">
        <f t="shared" si="4"/>
        <v>2.9114078409853059</v>
      </c>
      <c r="J21" s="299">
        <f>(POWER(I20/D20,1/5)-1)*100</f>
        <v>2.5228740059121124</v>
      </c>
      <c r="K21" s="290"/>
    </row>
    <row r="22" spans="1:11" s="23" customFormat="1" ht="14.25" customHeight="1">
      <c r="A22" s="301"/>
      <c r="B22" s="286" t="s">
        <v>73</v>
      </c>
      <c r="C22" s="302">
        <f>C20+C17</f>
        <v>156088</v>
      </c>
      <c r="D22" s="302">
        <f>D20+D17</f>
        <v>160428</v>
      </c>
      <c r="E22" s="302">
        <f t="shared" ref="E22:I22" si="5">E20+E17</f>
        <v>168389</v>
      </c>
      <c r="F22" s="302">
        <f t="shared" si="5"/>
        <v>174225</v>
      </c>
      <c r="G22" s="302">
        <f t="shared" si="5"/>
        <v>178844</v>
      </c>
      <c r="H22" s="302">
        <f t="shared" si="5"/>
        <v>182441</v>
      </c>
      <c r="I22" s="302">
        <f t="shared" si="5"/>
        <v>189012</v>
      </c>
      <c r="J22" s="303"/>
      <c r="K22" s="301"/>
    </row>
    <row r="23" spans="1:11" s="24" customFormat="1" ht="14.25" customHeight="1">
      <c r="A23" s="304"/>
      <c r="B23" s="305" t="s">
        <v>33</v>
      </c>
      <c r="C23" s="22"/>
      <c r="D23" s="22">
        <f t="shared" ref="D23:I23" si="6">(((D22-C22)/C22))*100</f>
        <v>2.78048280457178</v>
      </c>
      <c r="E23" s="22">
        <f t="shared" si="6"/>
        <v>4.9623507118458123</v>
      </c>
      <c r="F23" s="22">
        <f t="shared" si="6"/>
        <v>3.4657845821282862</v>
      </c>
      <c r="G23" s="22">
        <f t="shared" si="6"/>
        <v>2.6511694647725643</v>
      </c>
      <c r="H23" s="22">
        <f t="shared" si="6"/>
        <v>2.0112500279573258</v>
      </c>
      <c r="I23" s="22">
        <f t="shared" si="6"/>
        <v>3.6017123343985178</v>
      </c>
      <c r="J23" s="22">
        <f>(POWER(I22/D22,1/5)-1)*100</f>
        <v>3.333667042747801</v>
      </c>
      <c r="K23" s="304"/>
    </row>
    <row r="24" spans="1:11" s="24" customFormat="1" ht="7.5" customHeight="1">
      <c r="A24" s="304"/>
      <c r="B24" s="306"/>
      <c r="C24" s="307"/>
      <c r="D24" s="307"/>
      <c r="E24" s="307"/>
      <c r="F24" s="307"/>
      <c r="G24" s="307"/>
      <c r="H24" s="307"/>
      <c r="I24" s="307"/>
      <c r="K24" s="304"/>
    </row>
    <row r="25" spans="1:11" s="23" customFormat="1" ht="14.25" customHeight="1">
      <c r="A25" s="301"/>
      <c r="B25" s="26" t="s">
        <v>74</v>
      </c>
      <c r="C25" s="308"/>
      <c r="D25" s="308"/>
      <c r="E25" s="308"/>
      <c r="F25" s="308"/>
      <c r="G25" s="308"/>
      <c r="H25" s="308"/>
      <c r="I25" s="308"/>
      <c r="J25" s="309"/>
      <c r="K25" s="301"/>
    </row>
    <row r="26" spans="1:11" ht="15" customHeight="1" outlineLevel="1">
      <c r="A26" s="293"/>
      <c r="B26" s="310" t="s">
        <v>225</v>
      </c>
      <c r="C26" s="311">
        <v>-64227</v>
      </c>
      <c r="D26" s="311">
        <v>-65945</v>
      </c>
      <c r="E26" s="311">
        <v>-69991</v>
      </c>
      <c r="F26" s="311">
        <v>-72744</v>
      </c>
      <c r="G26" s="311">
        <v>-75389</v>
      </c>
      <c r="H26" s="312" t="s">
        <v>384</v>
      </c>
      <c r="I26" s="312" t="s">
        <v>384</v>
      </c>
      <c r="J26" s="27"/>
      <c r="K26" s="293"/>
    </row>
    <row r="27" spans="1:11" s="25" customFormat="1" ht="15" customHeight="1" outlineLevel="1">
      <c r="A27" s="293"/>
      <c r="B27" s="313" t="s">
        <v>33</v>
      </c>
      <c r="C27" s="314"/>
      <c r="D27" s="314">
        <f>D26/(C26)*100-100</f>
        <v>2.6748875083687551</v>
      </c>
      <c r="E27" s="314">
        <f>E26/(D26)*100-100</f>
        <v>6.1354158768670857</v>
      </c>
      <c r="F27" s="314">
        <f>F26/E26*100-100</f>
        <v>3.9333628609392548</v>
      </c>
      <c r="G27" s="314">
        <f>G26/F26*100-100</f>
        <v>3.6360387110964609</v>
      </c>
      <c r="H27" s="314"/>
      <c r="I27" s="314"/>
      <c r="J27" s="315"/>
      <c r="K27" s="293"/>
    </row>
    <row r="28" spans="1:11" s="25" customFormat="1" ht="15" customHeight="1" outlineLevel="1">
      <c r="A28" s="290"/>
      <c r="B28" s="316" t="s">
        <v>59</v>
      </c>
      <c r="C28" s="311">
        <v>-23352</v>
      </c>
      <c r="D28" s="311">
        <v>-23541</v>
      </c>
      <c r="E28" s="311">
        <v>-24411</v>
      </c>
      <c r="F28" s="311">
        <v>-25068</v>
      </c>
      <c r="G28" s="311">
        <v>-25561</v>
      </c>
      <c r="H28" s="312" t="s">
        <v>384</v>
      </c>
      <c r="I28" s="312" t="s">
        <v>384</v>
      </c>
      <c r="J28" s="317"/>
      <c r="K28" s="290"/>
    </row>
    <row r="29" spans="1:11" s="25" customFormat="1" ht="15" customHeight="1" outlineLevel="1">
      <c r="A29" s="293"/>
      <c r="B29" s="313" t="s">
        <v>33</v>
      </c>
      <c r="C29" s="314"/>
      <c r="D29" s="314">
        <f>D28/C28*100-100</f>
        <v>0.8093525179856158</v>
      </c>
      <c r="E29" s="314">
        <f>E28/D28*100-100</f>
        <v>3.6956798776602682</v>
      </c>
      <c r="F29" s="314">
        <f>F28/E28*100-100</f>
        <v>2.6914096104215304</v>
      </c>
      <c r="G29" s="314">
        <f>G28/F28*100-100</f>
        <v>1.9666507100686061</v>
      </c>
      <c r="H29" s="314"/>
      <c r="I29" s="314"/>
      <c r="J29" s="315"/>
      <c r="K29" s="293"/>
    </row>
    <row r="30" spans="1:11" s="25" customFormat="1" ht="15" customHeight="1" outlineLevel="1">
      <c r="A30" s="293"/>
      <c r="B30" s="310" t="s">
        <v>61</v>
      </c>
      <c r="C30" s="311">
        <v>-11383</v>
      </c>
      <c r="D30" s="311">
        <v>-11183</v>
      </c>
      <c r="E30" s="311">
        <v>-11847</v>
      </c>
      <c r="F30" s="311">
        <v>-12339</v>
      </c>
      <c r="G30" s="311">
        <v>-12588</v>
      </c>
      <c r="H30" s="312" t="s">
        <v>384</v>
      </c>
      <c r="I30" s="312" t="s">
        <v>384</v>
      </c>
      <c r="J30" s="315"/>
      <c r="K30" s="293"/>
    </row>
    <row r="31" spans="1:11" s="25" customFormat="1" ht="15" customHeight="1" outlineLevel="1">
      <c r="A31" s="293"/>
      <c r="B31" s="313" t="s">
        <v>33</v>
      </c>
      <c r="C31" s="314"/>
      <c r="D31" s="314">
        <f>D30/C30*100-100</f>
        <v>-1.7570060616709213</v>
      </c>
      <c r="E31" s="314">
        <f>E30/D30*100-100</f>
        <v>5.9375838326030532</v>
      </c>
      <c r="F31" s="314">
        <f>F30/E30*100-100</f>
        <v>4.1529501139528975</v>
      </c>
      <c r="G31" s="314">
        <f>G30/F30*100-100</f>
        <v>2.0179917335278361</v>
      </c>
      <c r="H31" s="314"/>
      <c r="I31" s="314"/>
      <c r="J31" s="315"/>
      <c r="K31" s="293"/>
    </row>
    <row r="32" spans="1:11" s="25" customFormat="1" ht="15" customHeight="1" outlineLevel="1">
      <c r="A32" s="293"/>
      <c r="B32" s="316" t="s">
        <v>62</v>
      </c>
      <c r="C32" s="311">
        <v>-9015</v>
      </c>
      <c r="D32" s="311">
        <v>-9633</v>
      </c>
      <c r="E32" s="311">
        <v>-10067</v>
      </c>
      <c r="F32" s="311">
        <v>-10282</v>
      </c>
      <c r="G32" s="311">
        <v>-10238</v>
      </c>
      <c r="H32" s="312" t="s">
        <v>384</v>
      </c>
      <c r="I32" s="312" t="s">
        <v>384</v>
      </c>
      <c r="J32" s="315"/>
      <c r="K32" s="293"/>
    </row>
    <row r="33" spans="1:11" s="25" customFormat="1" ht="15" customHeight="1" outlineLevel="1">
      <c r="A33" s="293"/>
      <c r="B33" s="313" t="s">
        <v>33</v>
      </c>
      <c r="C33" s="314"/>
      <c r="D33" s="314">
        <f>D32/C32*100-100</f>
        <v>6.8552412645590692</v>
      </c>
      <c r="E33" s="314">
        <f>E32/D32*100-100</f>
        <v>4.5053462057510671</v>
      </c>
      <c r="F33" s="314">
        <f>F32/E32*100-100</f>
        <v>2.1356908711632059</v>
      </c>
      <c r="G33" s="314">
        <f>G32/F32*100-100</f>
        <v>-0.42793230888932499</v>
      </c>
      <c r="H33" s="314"/>
      <c r="I33" s="314"/>
      <c r="J33" s="315"/>
      <c r="K33" s="293"/>
    </row>
    <row r="34" spans="1:11" s="25" customFormat="1" ht="15" customHeight="1" outlineLevel="1">
      <c r="A34" s="293"/>
      <c r="B34" s="310" t="s">
        <v>222</v>
      </c>
      <c r="C34" s="311">
        <v>-7684</v>
      </c>
      <c r="D34" s="311">
        <v>-9176</v>
      </c>
      <c r="E34" s="311">
        <v>-7869</v>
      </c>
      <c r="F34" s="311">
        <v>-8843</v>
      </c>
      <c r="G34" s="311">
        <v>-8516</v>
      </c>
      <c r="H34" s="312" t="s">
        <v>384</v>
      </c>
      <c r="I34" s="312" t="s">
        <v>384</v>
      </c>
      <c r="J34" s="315"/>
      <c r="K34" s="293"/>
    </row>
    <row r="35" spans="1:11" s="25" customFormat="1" ht="15" customHeight="1" outlineLevel="1">
      <c r="A35" s="293"/>
      <c r="B35" s="313" t="s">
        <v>33</v>
      </c>
      <c r="C35" s="314"/>
      <c r="D35" s="314">
        <f>D34/C34*100-100</f>
        <v>19.416970327954203</v>
      </c>
      <c r="E35" s="314">
        <f>E34/D34*100-100</f>
        <v>-14.243679163034002</v>
      </c>
      <c r="F35" s="314">
        <f>F34/E34*100-100</f>
        <v>12.377684585080701</v>
      </c>
      <c r="G35" s="314">
        <f>G34/F34*100-100</f>
        <v>-3.6978400995137406</v>
      </c>
      <c r="H35" s="314"/>
      <c r="I35" s="314"/>
      <c r="J35" s="315"/>
      <c r="K35" s="293"/>
    </row>
    <row r="36" spans="1:11" s="25" customFormat="1" ht="15" customHeight="1" outlineLevel="1">
      <c r="A36" s="293"/>
      <c r="B36" s="310" t="s">
        <v>223</v>
      </c>
      <c r="C36" s="311">
        <v>-5707</v>
      </c>
      <c r="D36" s="311">
        <v>-5811</v>
      </c>
      <c r="E36" s="311">
        <v>-6358</v>
      </c>
      <c r="F36" s="311">
        <v>-5939</v>
      </c>
      <c r="G36" s="311">
        <v>-5808</v>
      </c>
      <c r="H36" s="312" t="s">
        <v>384</v>
      </c>
      <c r="I36" s="312" t="s">
        <v>384</v>
      </c>
      <c r="J36" s="315"/>
      <c r="K36" s="293"/>
    </row>
    <row r="37" spans="1:11" s="25" customFormat="1" ht="15" customHeight="1" outlineLevel="1">
      <c r="A37" s="293"/>
      <c r="B37" s="313" t="s">
        <v>33</v>
      </c>
      <c r="C37" s="314"/>
      <c r="D37" s="314">
        <f>D36/C36*100-100</f>
        <v>1.8223234624145732</v>
      </c>
      <c r="E37" s="314">
        <f>E36/D36*100-100</f>
        <v>9.4131818964033727</v>
      </c>
      <c r="F37" s="314">
        <f>F36/E36*100-100</f>
        <v>-6.5901226800880721</v>
      </c>
      <c r="G37" s="314">
        <f>G36/F36*100-100</f>
        <v>-2.2057585452096333</v>
      </c>
      <c r="H37" s="314"/>
      <c r="I37" s="314"/>
      <c r="J37" s="315"/>
      <c r="K37" s="293"/>
    </row>
    <row r="38" spans="1:11" s="25" customFormat="1" ht="15" customHeight="1" outlineLevel="1">
      <c r="A38" s="293"/>
      <c r="B38" s="310" t="s">
        <v>63</v>
      </c>
      <c r="C38" s="311">
        <v>-5005</v>
      </c>
      <c r="D38" s="311">
        <v>-5253</v>
      </c>
      <c r="E38" s="311">
        <v>-5863</v>
      </c>
      <c r="F38" s="311">
        <v>-5442</v>
      </c>
      <c r="G38" s="311">
        <v>-4794</v>
      </c>
      <c r="H38" s="312" t="s">
        <v>384</v>
      </c>
      <c r="I38" s="312" t="s">
        <v>384</v>
      </c>
      <c r="J38" s="315"/>
      <c r="K38" s="293"/>
    </row>
    <row r="39" spans="1:11" s="25" customFormat="1" ht="15" customHeight="1" outlineLevel="1">
      <c r="A39" s="293"/>
      <c r="B39" s="313" t="s">
        <v>33</v>
      </c>
      <c r="C39" s="314"/>
      <c r="D39" s="314">
        <f>D38/C38*100-100</f>
        <v>4.9550449550449542</v>
      </c>
      <c r="E39" s="314">
        <f>E38/D38*100-100</f>
        <v>11.612411955073298</v>
      </c>
      <c r="F39" s="314">
        <f>F38/E38*100-100</f>
        <v>-7.1806242537949885</v>
      </c>
      <c r="G39" s="314">
        <f>G38/F38*100-100</f>
        <v>-11.907386990077171</v>
      </c>
      <c r="H39" s="314"/>
      <c r="I39" s="314"/>
      <c r="J39" s="315"/>
      <c r="K39" s="293"/>
    </row>
    <row r="40" spans="1:11" s="25" customFormat="1" ht="15" customHeight="1" outlineLevel="1">
      <c r="A40" s="293"/>
      <c r="B40" s="310" t="s">
        <v>224</v>
      </c>
      <c r="C40" s="311">
        <v>-4768</v>
      </c>
      <c r="D40" s="311">
        <v>-4365</v>
      </c>
      <c r="E40" s="311">
        <v>-4506</v>
      </c>
      <c r="F40" s="311">
        <v>-4165</v>
      </c>
      <c r="G40" s="311">
        <v>-3566</v>
      </c>
      <c r="H40" s="312" t="s">
        <v>384</v>
      </c>
      <c r="I40" s="312" t="s">
        <v>384</v>
      </c>
      <c r="J40" s="315"/>
      <c r="K40" s="293"/>
    </row>
    <row r="41" spans="1:11" s="25" customFormat="1" ht="15" customHeight="1" outlineLevel="1">
      <c r="A41" s="293"/>
      <c r="B41" s="313" t="s">
        <v>33</v>
      </c>
      <c r="C41" s="314"/>
      <c r="D41" s="314">
        <f>D40/C40*100-100</f>
        <v>-8.4521812080536876</v>
      </c>
      <c r="E41" s="314">
        <f>E40/D40*100-100</f>
        <v>3.2302405498281956</v>
      </c>
      <c r="F41" s="314">
        <f>F40/E40*100-100</f>
        <v>-7.5676875277407873</v>
      </c>
      <c r="G41" s="314">
        <f>G40/F40*100-100</f>
        <v>-14.38175270108043</v>
      </c>
      <c r="H41" s="314"/>
      <c r="I41" s="314"/>
      <c r="J41" s="315"/>
      <c r="K41" s="293"/>
    </row>
    <row r="42" spans="1:11" s="25" customFormat="1" ht="26.25" customHeight="1" outlineLevel="1">
      <c r="A42" s="293"/>
      <c r="B42" s="310" t="s">
        <v>196</v>
      </c>
      <c r="C42" s="318">
        <v>-2181</v>
      </c>
      <c r="D42" s="318">
        <v>-1802</v>
      </c>
      <c r="E42" s="318">
        <v>-1979</v>
      </c>
      <c r="F42" s="318">
        <v>-2168</v>
      </c>
      <c r="G42" s="318">
        <v>-2131</v>
      </c>
      <c r="H42" s="312" t="s">
        <v>384</v>
      </c>
      <c r="I42" s="312" t="s">
        <v>384</v>
      </c>
      <c r="J42" s="315"/>
      <c r="K42" s="293"/>
    </row>
    <row r="43" spans="1:11" s="25" customFormat="1" ht="15" customHeight="1" outlineLevel="1">
      <c r="A43" s="293"/>
      <c r="B43" s="313" t="s">
        <v>33</v>
      </c>
      <c r="C43" s="314"/>
      <c r="D43" s="314">
        <f>D42/C42*100-100</f>
        <v>-17.377349839523163</v>
      </c>
      <c r="E43" s="314">
        <f>E42/D42*100-100</f>
        <v>9.8224195338512743</v>
      </c>
      <c r="F43" s="314">
        <f>F42/E42*100-100</f>
        <v>9.5502779181404662</v>
      </c>
      <c r="G43" s="314">
        <f>G42/F42*100-100</f>
        <v>-1.7066420664206561</v>
      </c>
      <c r="H43" s="314"/>
      <c r="I43" s="314"/>
      <c r="J43" s="315"/>
      <c r="K43" s="293"/>
    </row>
    <row r="44" spans="1:11" s="25" customFormat="1" ht="15" customHeight="1" outlineLevel="1">
      <c r="A44" s="293"/>
      <c r="B44" s="310" t="s">
        <v>64</v>
      </c>
      <c r="C44" s="311">
        <v>-17972</v>
      </c>
      <c r="D44" s="311">
        <v>-19073</v>
      </c>
      <c r="E44" s="311">
        <v>-18790</v>
      </c>
      <c r="F44" s="311">
        <v>-18659</v>
      </c>
      <c r="G44" s="311">
        <v>-18675</v>
      </c>
      <c r="H44" s="312" t="s">
        <v>384</v>
      </c>
      <c r="I44" s="312" t="s">
        <v>384</v>
      </c>
      <c r="J44" s="315"/>
      <c r="K44" s="293"/>
    </row>
    <row r="45" spans="1:11" s="25" customFormat="1" ht="15" customHeight="1" outlineLevel="1">
      <c r="A45" s="293"/>
      <c r="B45" s="313" t="s">
        <v>33</v>
      </c>
      <c r="C45" s="314"/>
      <c r="D45" s="314">
        <f>D44/C44*100-100</f>
        <v>6.126196305363905</v>
      </c>
      <c r="E45" s="314">
        <f>E44/D44*100-100</f>
        <v>-1.4837728726471937</v>
      </c>
      <c r="F45" s="314">
        <f>F44/E44*100-100</f>
        <v>-0.69717935071847137</v>
      </c>
      <c r="G45" s="314">
        <f>G44/F44*100-100</f>
        <v>8.5749504260675735E-2</v>
      </c>
      <c r="H45" s="314"/>
      <c r="I45" s="314"/>
      <c r="J45" s="315"/>
      <c r="K45" s="293"/>
    </row>
    <row r="46" spans="1:11" ht="27" outlineLevel="1">
      <c r="A46" s="293"/>
      <c r="B46" s="310" t="s">
        <v>389</v>
      </c>
      <c r="C46" s="311">
        <v>0</v>
      </c>
      <c r="D46" s="311">
        <v>0</v>
      </c>
      <c r="E46" s="311">
        <v>600</v>
      </c>
      <c r="F46" s="311">
        <v>600</v>
      </c>
      <c r="G46" s="311">
        <v>600</v>
      </c>
      <c r="H46" s="312" t="s">
        <v>384</v>
      </c>
      <c r="I46" s="312" t="s">
        <v>384</v>
      </c>
      <c r="J46" s="27"/>
      <c r="K46" s="293"/>
    </row>
    <row r="47" spans="1:11" outlineLevel="1">
      <c r="A47" s="293"/>
      <c r="B47" s="313" t="s">
        <v>33</v>
      </c>
      <c r="C47" s="314"/>
      <c r="D47" s="314">
        <f>IFERROR(D46/C46*100-100,0)</f>
        <v>0</v>
      </c>
      <c r="E47" s="314">
        <f t="shared" ref="E47:G47" si="7">IFERROR(E46/D46*100-100,0)</f>
        <v>0</v>
      </c>
      <c r="F47" s="314">
        <f t="shared" si="7"/>
        <v>0</v>
      </c>
      <c r="G47" s="314">
        <f t="shared" si="7"/>
        <v>0</v>
      </c>
      <c r="H47" s="314"/>
      <c r="I47" s="314"/>
      <c r="J47" s="27"/>
      <c r="K47" s="293"/>
    </row>
    <row r="48" spans="1:11" s="28" customFormat="1" ht="14.25" customHeight="1">
      <c r="A48" s="296"/>
      <c r="B48" s="319" t="s">
        <v>72</v>
      </c>
      <c r="C48" s="320">
        <f>C26+C28+C30+C32+C34+C36+C38+C40+C42+C44+C46</f>
        <v>-151294</v>
      </c>
      <c r="D48" s="320">
        <f t="shared" ref="D48:G48" si="8">D26+D28+D30+D32+D34+D36+D38+D40+D42+D44+D46</f>
        <v>-155782</v>
      </c>
      <c r="E48" s="320">
        <f t="shared" si="8"/>
        <v>-161081</v>
      </c>
      <c r="F48" s="320">
        <f t="shared" si="8"/>
        <v>-165049</v>
      </c>
      <c r="G48" s="320">
        <f t="shared" si="8"/>
        <v>-166666</v>
      </c>
      <c r="H48" s="320">
        <v>-168291</v>
      </c>
      <c r="I48" s="320">
        <v>-173584</v>
      </c>
      <c r="J48" s="321"/>
      <c r="K48" s="296"/>
    </row>
    <row r="49" spans="1:13" s="25" customFormat="1" ht="14.25" customHeight="1">
      <c r="A49" s="293"/>
      <c r="B49" s="313" t="s">
        <v>33</v>
      </c>
      <c r="C49" s="314"/>
      <c r="D49" s="314">
        <f>D48/C48*100-100</f>
        <v>2.9664097717027715</v>
      </c>
      <c r="E49" s="314">
        <f t="shared" ref="E49:I49" si="9">E48/D48*100-100</f>
        <v>3.4015483175206356</v>
      </c>
      <c r="F49" s="314">
        <f t="shared" si="9"/>
        <v>2.4633569446427543</v>
      </c>
      <c r="G49" s="314">
        <f t="shared" si="9"/>
        <v>0.97970905609849979</v>
      </c>
      <c r="H49" s="314">
        <f t="shared" si="9"/>
        <v>0.97500390001559367</v>
      </c>
      <c r="I49" s="314">
        <f t="shared" si="9"/>
        <v>3.1451473935029099</v>
      </c>
      <c r="J49" s="314">
        <f>(POWER(I48/D48,1/5)-1)*100</f>
        <v>2.1876668219398487</v>
      </c>
      <c r="K49" s="293"/>
    </row>
    <row r="50" spans="1:13" s="25" customFormat="1" ht="6" customHeight="1">
      <c r="A50" s="293"/>
      <c r="B50" s="313"/>
      <c r="C50" s="314"/>
      <c r="D50" s="314"/>
      <c r="E50" s="314"/>
      <c r="F50" s="314"/>
      <c r="G50" s="314"/>
      <c r="H50" s="314"/>
      <c r="I50" s="314"/>
      <c r="J50" s="315"/>
      <c r="K50" s="293"/>
    </row>
    <row r="51" spans="1:13" ht="14.25" customHeight="1">
      <c r="A51" s="296"/>
      <c r="B51" s="319" t="s">
        <v>35</v>
      </c>
      <c r="C51" s="322">
        <v>-9969</v>
      </c>
      <c r="D51" s="322">
        <v>-10148</v>
      </c>
      <c r="E51" s="322">
        <v>-10516</v>
      </c>
      <c r="F51" s="322">
        <v>-10870</v>
      </c>
      <c r="G51" s="322">
        <v>-11402</v>
      </c>
      <c r="H51" s="322">
        <v>-11860</v>
      </c>
      <c r="I51" s="322">
        <v>-12749</v>
      </c>
      <c r="K51" s="296"/>
    </row>
    <row r="52" spans="1:13" s="25" customFormat="1" ht="14.25" customHeight="1">
      <c r="A52" s="293"/>
      <c r="B52" s="313" t="s">
        <v>33</v>
      </c>
      <c r="C52" s="314"/>
      <c r="D52" s="314">
        <f>D51/C51*100-100</f>
        <v>1.7955662553917193</v>
      </c>
      <c r="E52" s="314">
        <f t="shared" ref="E52:I52" si="10">E51/D51*100-100</f>
        <v>3.6263303113914134</v>
      </c>
      <c r="F52" s="314">
        <f t="shared" si="10"/>
        <v>3.3662989729935475</v>
      </c>
      <c r="G52" s="314">
        <f t="shared" si="10"/>
        <v>4.8942042318307415</v>
      </c>
      <c r="H52" s="314">
        <f t="shared" si="10"/>
        <v>4.016839151026133</v>
      </c>
      <c r="I52" s="314">
        <f t="shared" si="10"/>
        <v>7.4957841483979735</v>
      </c>
      <c r="J52" s="314">
        <f>(POWER(I51/D51,1/5)-1)*100</f>
        <v>4.669254878388851</v>
      </c>
      <c r="K52" s="293"/>
    </row>
    <row r="53" spans="1:13" s="23" customFormat="1" ht="14.25" customHeight="1">
      <c r="A53" s="296"/>
      <c r="B53" s="26" t="s">
        <v>75</v>
      </c>
      <c r="C53" s="323">
        <f>C48+C51</f>
        <v>-161263</v>
      </c>
      <c r="D53" s="323">
        <f t="shared" ref="D53:I53" si="11">D48+D51</f>
        <v>-165930</v>
      </c>
      <c r="E53" s="323">
        <f t="shared" si="11"/>
        <v>-171597</v>
      </c>
      <c r="F53" s="323">
        <f t="shared" si="11"/>
        <v>-175919</v>
      </c>
      <c r="G53" s="323">
        <f t="shared" si="11"/>
        <v>-178068</v>
      </c>
      <c r="H53" s="323">
        <f t="shared" si="11"/>
        <v>-180151</v>
      </c>
      <c r="I53" s="323">
        <f t="shared" si="11"/>
        <v>-186333</v>
      </c>
      <c r="J53" s="324"/>
      <c r="K53" s="296"/>
    </row>
    <row r="54" spans="1:13" s="24" customFormat="1" ht="14.25" customHeight="1">
      <c r="A54" s="293"/>
      <c r="B54" s="30" t="s">
        <v>226</v>
      </c>
      <c r="C54" s="27"/>
      <c r="D54" s="27">
        <f>D53/C53*100-100</f>
        <v>2.8940302487241496</v>
      </c>
      <c r="E54" s="27">
        <f>(((E53-D53)/D53))*100</f>
        <v>3.4152956065810884</v>
      </c>
      <c r="F54" s="27">
        <f>(((F53-E53)/E53))*100</f>
        <v>2.518692051725846</v>
      </c>
      <c r="G54" s="27">
        <f>(((G53-F53)/F53))*100</f>
        <v>1.2215849339752953</v>
      </c>
      <c r="H54" s="27">
        <f>(((H53-G53)/G53))*100</f>
        <v>1.1697778376799874</v>
      </c>
      <c r="I54" s="27">
        <f>(((I53-H53)/H53))*100</f>
        <v>3.4315657420719283</v>
      </c>
      <c r="J54" s="27">
        <f>(POWER(I53/D53,1/5)-1)*100</f>
        <v>2.3464946197307768</v>
      </c>
      <c r="K54" s="293"/>
    </row>
    <row r="55" spans="1:13" s="24" customFormat="1" ht="6" customHeight="1">
      <c r="A55" s="293"/>
      <c r="B55" s="325"/>
      <c r="C55" s="326"/>
      <c r="D55" s="326"/>
      <c r="E55" s="326"/>
      <c r="F55" s="326"/>
      <c r="G55" s="326"/>
      <c r="H55" s="326"/>
      <c r="I55" s="326"/>
      <c r="J55" s="327"/>
      <c r="K55" s="293"/>
    </row>
    <row r="56" spans="1:13">
      <c r="A56" s="296"/>
      <c r="B56" s="31" t="s">
        <v>186</v>
      </c>
      <c r="C56" s="32">
        <v>0</v>
      </c>
      <c r="D56" s="32">
        <v>0</v>
      </c>
      <c r="E56" s="32">
        <v>-2000</v>
      </c>
      <c r="F56" s="32">
        <v>-1500</v>
      </c>
      <c r="G56" s="32">
        <v>-1500</v>
      </c>
      <c r="H56" s="32">
        <v>-1500</v>
      </c>
      <c r="I56" s="32">
        <v>-1500</v>
      </c>
      <c r="J56" s="328"/>
      <c r="K56" s="296"/>
    </row>
    <row r="57" spans="1:13" s="23" customFormat="1" ht="28.5" customHeight="1">
      <c r="A57" s="296"/>
      <c r="B57" s="329" t="s">
        <v>398</v>
      </c>
      <c r="C57" s="330">
        <f t="shared" ref="C57:I57" si="12">ROUND(C56+C53+C22,6)</f>
        <v>-5175</v>
      </c>
      <c r="D57" s="330">
        <f t="shared" si="12"/>
        <v>-5502</v>
      </c>
      <c r="E57" s="330">
        <f t="shared" si="12"/>
        <v>-5208</v>
      </c>
      <c r="F57" s="330">
        <f t="shared" si="12"/>
        <v>-3194</v>
      </c>
      <c r="G57" s="330">
        <f t="shared" si="12"/>
        <v>-724</v>
      </c>
      <c r="H57" s="330">
        <f t="shared" si="12"/>
        <v>790</v>
      </c>
      <c r="I57" s="330">
        <f t="shared" si="12"/>
        <v>1179</v>
      </c>
      <c r="J57" s="331"/>
      <c r="K57" s="296"/>
    </row>
    <row r="58" spans="1:13" s="23" customFormat="1" ht="14.25" customHeight="1">
      <c r="A58" s="296"/>
      <c r="B58" s="174" t="s">
        <v>185</v>
      </c>
      <c r="C58" s="332"/>
      <c r="D58" s="332">
        <f>ABS(IFERROR(D57/('1_Economique'!E10)*100,0))</f>
        <v>0.85168301045641348</v>
      </c>
      <c r="E58" s="332">
        <f>ABS(IFERROR(E57/('1_Economique'!F10)*100,0))</f>
        <v>0.77950302192127729</v>
      </c>
      <c r="F58" s="332">
        <f>ABS(IFERROR(F57/('1_Economique'!G10)*100,0))</f>
        <v>0.46240063236254292</v>
      </c>
      <c r="G58" s="332">
        <f>ABS(IFERROR(G57/('1_Economique'!H10)*100,0))</f>
        <v>0.10134137345555888</v>
      </c>
      <c r="H58" s="332">
        <f>ABS(IFERROR(H57/('1_Economique'!I10)*100,0))</f>
        <v>0.10695940146060509</v>
      </c>
      <c r="I58" s="332">
        <f>ABS(IFERROR(I57/('1_Economique'!J10)*100,0))</f>
        <v>0.15447000019652671</v>
      </c>
      <c r="J58" s="333"/>
      <c r="K58" s="296"/>
    </row>
    <row r="59" spans="1:13" s="23" customFormat="1" ht="6" customHeight="1">
      <c r="A59" s="296"/>
      <c r="B59" s="334"/>
      <c r="C59" s="335"/>
      <c r="D59" s="335"/>
      <c r="E59" s="335"/>
      <c r="F59" s="335"/>
      <c r="G59" s="335"/>
      <c r="H59" s="335"/>
      <c r="I59" s="335"/>
      <c r="J59" s="336"/>
      <c r="K59" s="296"/>
    </row>
    <row r="60" spans="1:13" s="23" customFormat="1">
      <c r="A60" s="337"/>
      <c r="B60" s="338" t="s">
        <v>184</v>
      </c>
      <c r="C60" s="32">
        <v>0</v>
      </c>
      <c r="D60" s="32">
        <v>0</v>
      </c>
      <c r="E60" s="32">
        <v>0</v>
      </c>
      <c r="F60" s="32">
        <v>0</v>
      </c>
      <c r="G60" s="32">
        <v>1850</v>
      </c>
      <c r="H60" s="32">
        <v>2000</v>
      </c>
      <c r="I60" s="32">
        <v>2000</v>
      </c>
      <c r="J60" s="328"/>
      <c r="K60" s="337"/>
      <c r="L60" s="20"/>
      <c r="M60" s="20"/>
    </row>
    <row r="61" spans="1:13" ht="42" customHeight="1">
      <c r="A61" s="337"/>
      <c r="B61" s="33" t="s">
        <v>141</v>
      </c>
      <c r="C61" s="32">
        <v>-2397</v>
      </c>
      <c r="D61" s="32">
        <v>-2289</v>
      </c>
      <c r="E61" s="32">
        <v>-2482</v>
      </c>
      <c r="F61" s="32">
        <v>-2501</v>
      </c>
      <c r="G61" s="32">
        <v>-2626</v>
      </c>
      <c r="H61" s="32">
        <v>-2790</v>
      </c>
      <c r="I61" s="32">
        <v>-2929</v>
      </c>
      <c r="J61" s="328"/>
      <c r="K61" s="337"/>
    </row>
    <row r="62" spans="1:13" s="23" customFormat="1" ht="6" hidden="1" customHeight="1" outlineLevel="1">
      <c r="A62" s="337"/>
      <c r="B62" s="339"/>
      <c r="C62" s="340"/>
      <c r="D62" s="340"/>
      <c r="E62" s="340"/>
      <c r="F62" s="340"/>
      <c r="G62" s="340"/>
      <c r="H62" s="340"/>
      <c r="I62" s="340"/>
      <c r="J62" s="336"/>
      <c r="K62" s="337"/>
    </row>
    <row r="63" spans="1:13" hidden="1" outlineLevel="1">
      <c r="A63" s="337"/>
      <c r="B63" s="33" t="s">
        <v>140</v>
      </c>
      <c r="C63" s="32">
        <v>0</v>
      </c>
      <c r="D63" s="32">
        <v>0</v>
      </c>
      <c r="E63" s="32">
        <v>0</v>
      </c>
      <c r="F63" s="32">
        <v>0</v>
      </c>
      <c r="G63" s="32">
        <v>0</v>
      </c>
      <c r="H63" s="32">
        <v>0</v>
      </c>
      <c r="I63" s="32">
        <v>0</v>
      </c>
      <c r="J63" s="328"/>
      <c r="K63" s="337"/>
    </row>
    <row r="64" spans="1:13" ht="6" customHeight="1" collapsed="1">
      <c r="A64" s="341"/>
      <c r="B64" s="33"/>
      <c r="C64" s="342"/>
      <c r="D64" s="342"/>
      <c r="E64" s="342"/>
      <c r="F64" s="342"/>
      <c r="G64" s="342"/>
      <c r="H64" s="342"/>
      <c r="I64" s="342"/>
      <c r="J64" s="328"/>
      <c r="K64" s="341"/>
    </row>
    <row r="65" spans="1:11">
      <c r="B65" s="343" t="s">
        <v>227</v>
      </c>
      <c r="C65" s="344">
        <f t="shared" ref="C65:I65" si="13">ROUND(C57+C61+C60+C63,6)</f>
        <v>-7572</v>
      </c>
      <c r="D65" s="344">
        <f t="shared" si="13"/>
        <v>-7791</v>
      </c>
      <c r="E65" s="344">
        <f t="shared" si="13"/>
        <v>-7690</v>
      </c>
      <c r="F65" s="344">
        <f t="shared" si="13"/>
        <v>-5695</v>
      </c>
      <c r="G65" s="344">
        <f t="shared" si="13"/>
        <v>-1500</v>
      </c>
      <c r="H65" s="344">
        <f t="shared" si="13"/>
        <v>0</v>
      </c>
      <c r="I65" s="344">
        <f t="shared" si="13"/>
        <v>250</v>
      </c>
      <c r="J65" s="344"/>
    </row>
    <row r="66" spans="1:11" ht="14.25" thickBot="1">
      <c r="B66" s="173" t="s">
        <v>185</v>
      </c>
      <c r="C66" s="345"/>
      <c r="D66" s="345">
        <f>ABS(IFERROR(D65/('1_Economique'!E10)*100,0))</f>
        <v>1.2060091483943871</v>
      </c>
      <c r="E66" s="345">
        <f>ABS(IFERROR(E65/('1_Economique'!F10)*100,0))</f>
        <v>1.1509942854405959</v>
      </c>
      <c r="F66" s="345">
        <f>ABS(IFERROR(F65/('1_Economique'!G10)*100,0))</f>
        <v>0.82447451512356984</v>
      </c>
      <c r="G66" s="345">
        <f>ABS(IFERROR(G65/('1_Economique'!H10)*100,0))</f>
        <v>0.2099614090930087</v>
      </c>
      <c r="H66" s="345">
        <f>ABS(IFERROR(H65/('1_Economique'!I10)*100,0))</f>
        <v>0</v>
      </c>
      <c r="I66" s="345">
        <f>ABS(IFERROR(I65/('1_Economique'!J10)*100,0))</f>
        <v>3.2754452967880987E-2</v>
      </c>
      <c r="J66" s="344"/>
    </row>
    <row r="67" spans="1:11" ht="211.5" customHeight="1">
      <c r="B67" s="400" t="s">
        <v>404</v>
      </c>
      <c r="C67" s="400"/>
      <c r="D67" s="400"/>
      <c r="E67" s="400"/>
      <c r="F67" s="400"/>
      <c r="G67" s="400"/>
      <c r="H67" s="400"/>
      <c r="I67" s="400"/>
      <c r="J67" s="400"/>
    </row>
    <row r="68" spans="1:11">
      <c r="B68" s="346"/>
      <c r="C68" s="346"/>
      <c r="D68" s="346"/>
      <c r="E68" s="346"/>
      <c r="F68" s="346"/>
      <c r="G68" s="346"/>
      <c r="H68" s="346"/>
      <c r="I68" s="346"/>
      <c r="J68" s="346"/>
    </row>
    <row r="69" spans="1:11" ht="16.5">
      <c r="B69" s="396" t="s">
        <v>68</v>
      </c>
      <c r="C69" s="396"/>
      <c r="D69" s="396"/>
      <c r="E69" s="396"/>
      <c r="F69" s="397"/>
      <c r="G69" s="36"/>
      <c r="H69" s="36"/>
      <c r="I69" s="36"/>
      <c r="J69" s="36"/>
    </row>
    <row r="70" spans="1:11" ht="13.5" customHeight="1" thickBot="1">
      <c r="B70" s="398" t="s">
        <v>385</v>
      </c>
      <c r="C70" s="398"/>
      <c r="D70" s="398"/>
      <c r="E70" s="398"/>
      <c r="F70" s="399"/>
      <c r="G70" s="36"/>
      <c r="H70" s="36"/>
      <c r="I70" s="36"/>
      <c r="J70" s="36"/>
    </row>
    <row r="71" spans="1:11" ht="27.75" customHeight="1">
      <c r="B71" s="280"/>
      <c r="C71" s="45" t="str">
        <f t="shared" ref="C71:I71" si="14">C5</f>
        <v>2024-2025</v>
      </c>
      <c r="D71" s="45" t="str">
        <f t="shared" si="14"/>
        <v>2025-2026</v>
      </c>
      <c r="E71" s="45" t="str">
        <f t="shared" si="14"/>
        <v>2026-2027</v>
      </c>
      <c r="F71" s="45" t="str">
        <f t="shared" si="14"/>
        <v>2027-2028</v>
      </c>
      <c r="G71" s="45" t="str">
        <f t="shared" si="14"/>
        <v>2028-2029</v>
      </c>
      <c r="H71" s="45" t="str">
        <f t="shared" si="14"/>
        <v>2029-2030</v>
      </c>
      <c r="I71" s="45" t="str">
        <f t="shared" si="14"/>
        <v>2030-2031</v>
      </c>
      <c r="J71" s="36"/>
    </row>
    <row r="72" spans="1:11" ht="27.75" customHeight="1">
      <c r="B72" s="347" t="s">
        <v>191</v>
      </c>
      <c r="C72" s="348"/>
      <c r="D72" s="349">
        <v>245907</v>
      </c>
      <c r="E72" s="349">
        <v>253456</v>
      </c>
      <c r="F72" s="349">
        <v>265066</v>
      </c>
      <c r="G72" s="349">
        <v>270702</v>
      </c>
      <c r="H72" s="349">
        <v>273201</v>
      </c>
      <c r="I72" s="349">
        <v>274985</v>
      </c>
      <c r="J72" s="36"/>
    </row>
    <row r="73" spans="1:11">
      <c r="B73" s="350" t="s">
        <v>47</v>
      </c>
      <c r="C73" s="348"/>
      <c r="D73" s="348">
        <f>ROUND(D72/'1_Economique'!E10*100,1)</f>
        <v>38.1</v>
      </c>
      <c r="E73" s="348">
        <f>ROUND(E72/'1_Economique'!F10*100,1)</f>
        <v>37.9</v>
      </c>
      <c r="F73" s="348">
        <f>ROUND(F72/'1_Economique'!G10*100,1)</f>
        <v>38.4</v>
      </c>
      <c r="G73" s="348">
        <f>ROUND(G72/'1_Economique'!H10*100,1)</f>
        <v>37.9</v>
      </c>
      <c r="H73" s="348">
        <f>ROUND(H72/'1_Economique'!I10*100,1)</f>
        <v>37</v>
      </c>
      <c r="I73" s="348">
        <f>ROUND(I72/'1_Economique'!J10*100,1)</f>
        <v>36</v>
      </c>
      <c r="J73" s="36"/>
    </row>
    <row r="74" spans="1:11" ht="13.5" customHeight="1">
      <c r="B74" s="261" t="s">
        <v>69</v>
      </c>
      <c r="C74" s="349"/>
      <c r="D74" s="349">
        <v>265547</v>
      </c>
      <c r="E74" s="349">
        <v>280807</v>
      </c>
      <c r="F74" s="349">
        <v>295462</v>
      </c>
      <c r="G74" s="349">
        <v>305967</v>
      </c>
      <c r="H74" s="349">
        <v>311817</v>
      </c>
      <c r="I74" s="349">
        <v>316499</v>
      </c>
      <c r="J74" s="36"/>
    </row>
    <row r="75" spans="1:11" ht="13.5" customHeight="1" thickBot="1">
      <c r="B75" s="351" t="s">
        <v>47</v>
      </c>
      <c r="C75" s="352"/>
      <c r="D75" s="352">
        <f>ROUND(D74/'1_Economique'!E10*100,1)</f>
        <v>41.1</v>
      </c>
      <c r="E75" s="352">
        <f>ROUND(E74/'1_Economique'!F10*100,1)</f>
        <v>42</v>
      </c>
      <c r="F75" s="352">
        <f>ROUND(F74/'1_Economique'!G10*100,1)</f>
        <v>42.8</v>
      </c>
      <c r="G75" s="352">
        <f>ROUND(G74/'1_Economique'!H10*100,1)</f>
        <v>42.8</v>
      </c>
      <c r="H75" s="352">
        <f>ROUND(H74/'1_Economique'!I10*100,1)</f>
        <v>42.2</v>
      </c>
      <c r="I75" s="352">
        <f>ROUND(I74/'1_Economique'!J10*100,1)</f>
        <v>41.5</v>
      </c>
      <c r="J75" s="36"/>
    </row>
    <row r="77" spans="1:11" ht="12.95" customHeight="1">
      <c r="A77" s="265"/>
      <c r="B77" s="265"/>
      <c r="C77" s="265"/>
      <c r="D77" s="265"/>
      <c r="E77" s="265"/>
      <c r="F77" s="265"/>
      <c r="G77" s="265"/>
      <c r="H77" s="265"/>
      <c r="I77" s="265"/>
      <c r="J77" s="265"/>
      <c r="K77" s="265"/>
    </row>
    <row r="78" spans="1:11">
      <c r="D78" s="37"/>
      <c r="E78" s="37"/>
      <c r="F78" s="37"/>
      <c r="G78" s="37"/>
      <c r="H78" s="37"/>
      <c r="I78" s="37"/>
    </row>
    <row r="292" spans="2:3" ht="16.5">
      <c r="B292" s="38"/>
      <c r="C292" s="38"/>
    </row>
  </sheetData>
  <sheetProtection sheet="1" objects="1" scenarios="1"/>
  <mergeCells count="7">
    <mergeCell ref="C1:K1"/>
    <mergeCell ref="B69:F69"/>
    <mergeCell ref="B70:F70"/>
    <mergeCell ref="B67:J67"/>
    <mergeCell ref="B2:I2"/>
    <mergeCell ref="B3:J3"/>
    <mergeCell ref="B4:J4"/>
  </mergeCells>
  <phoneticPr fontId="103" type="noConversion"/>
  <printOptions horizontalCentered="1"/>
  <pageMargins left="0.23622047244094491" right="0.23622047244094491" top="0.74803149606299213" bottom="0.86614173228346458" header="0.31496062992125984" footer="0.31496062992125984"/>
  <pageSetup scale="63" orientation="portrait" r:id="rId1"/>
  <headerFooter>
    <oddFooter>&amp;C
&amp;G&amp;RPage &amp;P de &amp;N</oddFooter>
  </headerFooter>
  <rowBreaks count="1" manualBreakCount="1">
    <brk id="66" max="10" man="1"/>
  </rowBreaks>
  <drawing r:id="rId2"/>
  <legacy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7">
    <pageSetUpPr fitToPage="1"/>
  </sheetPr>
  <dimension ref="A1:J21"/>
  <sheetViews>
    <sheetView zoomScaleNormal="100" zoomScaleSheetLayoutView="100" workbookViewId="0">
      <selection activeCell="K5" sqref="K5"/>
    </sheetView>
  </sheetViews>
  <sheetFormatPr baseColWidth="10" defaultColWidth="11.42578125" defaultRowHeight="13.5"/>
  <cols>
    <col min="1" max="1" width="2.7109375" style="20" customWidth="1"/>
    <col min="2" max="2" width="31" style="20" customWidth="1"/>
    <col min="3" max="7" width="9.85546875" style="20" customWidth="1"/>
    <col min="8" max="8" width="11.140625" style="20" customWidth="1"/>
    <col min="9" max="9" width="9.85546875" style="20" customWidth="1"/>
    <col min="10" max="10" width="2.7109375" style="20" customWidth="1"/>
    <col min="11" max="16384" width="11.42578125" style="20"/>
  </cols>
  <sheetData>
    <row r="1" spans="1:10" ht="45" customHeight="1">
      <c r="A1" s="266"/>
      <c r="B1" s="267"/>
      <c r="C1" s="394" t="s">
        <v>397</v>
      </c>
      <c r="D1" s="394"/>
      <c r="E1" s="394"/>
      <c r="F1" s="394"/>
      <c r="G1" s="394"/>
      <c r="H1" s="394"/>
      <c r="I1" s="394"/>
      <c r="J1" s="395"/>
    </row>
    <row r="2" spans="1:10" ht="12" customHeight="1">
      <c r="B2" s="401"/>
      <c r="C2" s="401"/>
      <c r="D2" s="401"/>
      <c r="E2" s="401"/>
      <c r="F2" s="401"/>
      <c r="G2" s="401"/>
      <c r="H2" s="401"/>
    </row>
    <row r="3" spans="1:10" ht="14.25">
      <c r="B3" s="276"/>
      <c r="C3" s="276"/>
      <c r="D3" s="276"/>
      <c r="E3" s="276"/>
      <c r="F3" s="276"/>
      <c r="G3" s="276"/>
      <c r="H3" s="276"/>
    </row>
    <row r="4" spans="1:10" ht="16.5" customHeight="1">
      <c r="A4" s="277"/>
      <c r="B4" s="396" t="s">
        <v>190</v>
      </c>
      <c r="C4" s="396"/>
      <c r="D4" s="396"/>
      <c r="E4" s="396"/>
      <c r="F4" s="396"/>
      <c r="G4" s="396"/>
      <c r="H4" s="396"/>
      <c r="I4" s="397"/>
      <c r="J4" s="277"/>
    </row>
    <row r="5" spans="1:10" ht="15" customHeight="1" thickBot="1">
      <c r="A5" s="278"/>
      <c r="B5" s="398" t="s">
        <v>46</v>
      </c>
      <c r="C5" s="398"/>
      <c r="D5" s="398"/>
      <c r="E5" s="398"/>
      <c r="F5" s="398"/>
      <c r="G5" s="398"/>
      <c r="H5" s="398"/>
      <c r="I5" s="399"/>
      <c r="J5" s="278"/>
    </row>
    <row r="6" spans="1:10" ht="35.25" customHeight="1">
      <c r="A6" s="279"/>
      <c r="B6" s="280"/>
      <c r="C6" s="21" t="s">
        <v>58</v>
      </c>
      <c r="D6" s="21" t="s">
        <v>180</v>
      </c>
      <c r="E6" s="21" t="s">
        <v>181</v>
      </c>
      <c r="F6" s="21" t="s">
        <v>182</v>
      </c>
      <c r="G6" s="21" t="s">
        <v>183</v>
      </c>
      <c r="H6" s="21" t="s">
        <v>386</v>
      </c>
      <c r="I6" s="21" t="s">
        <v>230</v>
      </c>
      <c r="J6" s="279"/>
    </row>
    <row r="7" spans="1:10" ht="18" customHeight="1" thickBot="1">
      <c r="A7" s="337"/>
      <c r="B7" s="33" t="s">
        <v>53</v>
      </c>
      <c r="C7" s="353">
        <v>19411.7</v>
      </c>
      <c r="D7" s="353">
        <v>19824.900000000001</v>
      </c>
      <c r="E7" s="353">
        <v>17022.099999999999</v>
      </c>
      <c r="F7" s="353">
        <v>15412.4</v>
      </c>
      <c r="G7" s="353">
        <v>15427.9</v>
      </c>
      <c r="H7" s="353">
        <f>AVERAGE(167000,0,0,0,0,0,0,0,0,0)</f>
        <v>16700</v>
      </c>
      <c r="I7" s="354">
        <v>167000</v>
      </c>
      <c r="J7" s="337"/>
    </row>
    <row r="8" spans="1:10" ht="28.5" customHeight="1">
      <c r="B8" s="400" t="s">
        <v>188</v>
      </c>
      <c r="C8" s="400"/>
      <c r="D8" s="400"/>
      <c r="E8" s="400"/>
      <c r="F8" s="400"/>
      <c r="G8" s="400"/>
      <c r="H8" s="400"/>
      <c r="I8" s="400"/>
    </row>
    <row r="9" spans="1:10" ht="27" customHeight="1">
      <c r="B9" s="405" t="s">
        <v>189</v>
      </c>
      <c r="C9" s="406"/>
      <c r="D9" s="406"/>
      <c r="E9" s="406"/>
      <c r="F9" s="406"/>
      <c r="G9" s="406"/>
      <c r="H9" s="406"/>
      <c r="I9" s="406"/>
    </row>
    <row r="10" spans="1:10">
      <c r="B10" s="36"/>
      <c r="C10" s="36"/>
      <c r="D10" s="36"/>
      <c r="E10" s="36"/>
      <c r="F10" s="36"/>
      <c r="G10" s="36"/>
      <c r="H10" s="36"/>
      <c r="I10" s="36"/>
    </row>
    <row r="11" spans="1:10">
      <c r="B11" s="403"/>
      <c r="C11" s="404"/>
      <c r="D11" s="404"/>
      <c r="E11" s="404"/>
      <c r="F11" s="404"/>
      <c r="G11" s="404"/>
      <c r="H11" s="404"/>
      <c r="I11" s="404"/>
    </row>
    <row r="12" spans="1:10">
      <c r="B12" s="23" t="s">
        <v>216</v>
      </c>
    </row>
    <row r="13" spans="1:10" ht="109.5" customHeight="1">
      <c r="B13" s="403" t="s">
        <v>402</v>
      </c>
      <c r="C13" s="404"/>
      <c r="D13" s="404"/>
      <c r="E13" s="404"/>
      <c r="F13" s="404"/>
      <c r="G13" s="404"/>
      <c r="H13" s="404"/>
      <c r="I13" s="404"/>
    </row>
    <row r="14" spans="1:10" ht="15">
      <c r="B14" s="360"/>
      <c r="C14" s="360"/>
      <c r="D14" s="360"/>
      <c r="E14" s="360"/>
      <c r="F14" s="360"/>
      <c r="G14" s="360"/>
      <c r="H14" s="360"/>
      <c r="I14" s="360"/>
      <c r="J14" s="360"/>
    </row>
    <row r="15" spans="1:10">
      <c r="B15" s="23" t="s">
        <v>214</v>
      </c>
      <c r="C15" s="37"/>
      <c r="D15" s="37"/>
      <c r="E15" s="37"/>
      <c r="F15" s="37"/>
      <c r="G15" s="37"/>
      <c r="H15" s="37"/>
    </row>
    <row r="16" spans="1:10" ht="73.5" customHeight="1">
      <c r="B16" s="403" t="s">
        <v>401</v>
      </c>
      <c r="C16" s="404"/>
      <c r="D16" s="404"/>
      <c r="E16" s="404"/>
      <c r="F16" s="404"/>
      <c r="G16" s="404"/>
      <c r="H16" s="404"/>
      <c r="I16" s="404"/>
    </row>
    <row r="18" spans="1:10">
      <c r="B18" s="23" t="s">
        <v>215</v>
      </c>
    </row>
    <row r="19" spans="1:10" ht="48.75" customHeight="1">
      <c r="B19" s="403" t="s">
        <v>362</v>
      </c>
      <c r="C19" s="404"/>
      <c r="D19" s="404"/>
      <c r="E19" s="404"/>
      <c r="F19" s="404"/>
      <c r="G19" s="404"/>
      <c r="H19" s="404"/>
      <c r="I19" s="404"/>
    </row>
    <row r="21" spans="1:10" ht="12.95" customHeight="1">
      <c r="A21" s="265"/>
      <c r="B21" s="265"/>
      <c r="C21" s="265"/>
      <c r="D21" s="265"/>
      <c r="E21" s="265"/>
      <c r="F21" s="265"/>
      <c r="G21" s="265"/>
      <c r="H21" s="265"/>
      <c r="I21" s="265"/>
      <c r="J21" s="265"/>
    </row>
  </sheetData>
  <sheetProtection sheet="1" objects="1" scenarios="1"/>
  <mergeCells count="10">
    <mergeCell ref="C1:J1"/>
    <mergeCell ref="B11:I11"/>
    <mergeCell ref="B16:I16"/>
    <mergeCell ref="B19:I19"/>
    <mergeCell ref="B13:I13"/>
    <mergeCell ref="B9:I9"/>
    <mergeCell ref="B2:H2"/>
    <mergeCell ref="B4:I4"/>
    <mergeCell ref="B5:I5"/>
    <mergeCell ref="B8:I8"/>
  </mergeCells>
  <phoneticPr fontId="103" type="noConversion"/>
  <hyperlinks>
    <hyperlink ref="B9" r:id="rId1" xr:uid="{63DB15E6-369A-4030-9609-96C2C4EA21E0}"/>
    <hyperlink ref="B9:I9" r:id="rId2" display="https://cdn-contenu.quebec.ca/cdn-contenu/adm/min/secretariat-du-conseil-du-tresor/publications-adm/budgets/2026-2027/6_plan_quebecois_infrastructures.pdf" xr:uid="{F9EC16F0-3783-432E-B52D-2DCFA5F4C379}"/>
  </hyperlinks>
  <printOptions horizontalCentered="1"/>
  <pageMargins left="0.23622047244094491" right="0.23622047244094491" top="0.74803149606299213" bottom="0.86614173228346458" header="0.31496062992125984" footer="0.31496062992125984"/>
  <pageSetup scale="97" orientation="portrait" r:id="rId3"/>
  <headerFooter>
    <oddFooter>&amp;C
&amp;G&amp;RPage &amp;P de &amp;N</oddFooter>
  </headerFooter>
  <drawing r:id="rId4"/>
  <legacyDrawingHF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B6ADE-F46D-4EB3-968E-B8EC8FB29134}">
  <sheetPr codeName="Feuil10">
    <pageSetUpPr fitToPage="1"/>
  </sheetPr>
  <dimension ref="A1:J11"/>
  <sheetViews>
    <sheetView zoomScale="85" zoomScaleNormal="85" zoomScaleSheetLayoutView="115" workbookViewId="0"/>
  </sheetViews>
  <sheetFormatPr baseColWidth="10" defaultRowHeight="12.75"/>
  <cols>
    <col min="1" max="1" width="2.7109375" customWidth="1"/>
    <col min="3" max="3" width="13.5703125" customWidth="1"/>
    <col min="10" max="10" width="2.7109375" customWidth="1"/>
  </cols>
  <sheetData>
    <row r="1" spans="1:10" s="20" customFormat="1" ht="45" customHeight="1">
      <c r="A1" s="266"/>
      <c r="B1" s="267"/>
      <c r="C1" s="267"/>
      <c r="D1" s="394" t="s">
        <v>372</v>
      </c>
      <c r="E1" s="394"/>
      <c r="F1" s="394"/>
      <c r="G1" s="394"/>
      <c r="H1" s="394"/>
      <c r="I1" s="394"/>
      <c r="J1" s="394"/>
    </row>
    <row r="2" spans="1:10" ht="12" customHeight="1"/>
    <row r="3" spans="1:10" ht="15" customHeight="1">
      <c r="A3" s="20"/>
      <c r="B3" s="408" t="s">
        <v>279</v>
      </c>
      <c r="C3" s="408"/>
      <c r="D3" s="408"/>
      <c r="E3" s="408"/>
      <c r="F3" s="408"/>
      <c r="G3" s="408"/>
      <c r="H3" s="408"/>
      <c r="I3" s="408"/>
      <c r="J3" s="355"/>
    </row>
    <row r="4" spans="1:10" ht="51" customHeight="1">
      <c r="B4" s="407" t="s">
        <v>280</v>
      </c>
      <c r="C4" s="407"/>
      <c r="D4" s="407"/>
      <c r="E4" s="407"/>
      <c r="F4" s="407"/>
      <c r="G4" s="407"/>
      <c r="H4" s="407"/>
      <c r="I4" s="407"/>
      <c r="J4" s="357"/>
    </row>
    <row r="5" spans="1:10" ht="14.25" customHeight="1">
      <c r="B5" s="409" t="s">
        <v>279</v>
      </c>
      <c r="C5" s="410"/>
      <c r="D5" s="410"/>
      <c r="E5" s="410"/>
      <c r="F5" s="410"/>
      <c r="G5" s="410"/>
      <c r="H5" s="410"/>
      <c r="I5" s="411"/>
      <c r="J5" s="355"/>
    </row>
    <row r="6" spans="1:10" ht="260.25" customHeight="1">
      <c r="B6" s="412" t="s">
        <v>281</v>
      </c>
      <c r="C6" s="413"/>
      <c r="D6" s="413"/>
      <c r="E6" s="413"/>
      <c r="F6" s="413"/>
      <c r="G6" s="413"/>
      <c r="H6" s="413"/>
      <c r="I6" s="414"/>
      <c r="J6" s="358"/>
    </row>
    <row r="8" spans="1:10" ht="14.25">
      <c r="B8" s="415" t="s">
        <v>282</v>
      </c>
      <c r="C8" s="415"/>
      <c r="D8" s="415"/>
      <c r="E8" s="415"/>
      <c r="F8" s="415"/>
      <c r="G8" s="415"/>
      <c r="H8" s="415"/>
      <c r="I8" s="415"/>
    </row>
    <row r="9" spans="1:10" ht="193.5" customHeight="1">
      <c r="B9" s="407" t="s">
        <v>400</v>
      </c>
      <c r="C9" s="407"/>
      <c r="D9" s="407"/>
      <c r="E9" s="407"/>
      <c r="F9" s="407"/>
      <c r="G9" s="407"/>
      <c r="H9" s="407"/>
      <c r="I9" s="407"/>
    </row>
    <row r="10" spans="1:10" ht="14.25">
      <c r="B10" s="356"/>
      <c r="C10" s="356"/>
      <c r="D10" s="356"/>
      <c r="E10" s="356"/>
      <c r="F10" s="356"/>
      <c r="G10" s="356"/>
      <c r="H10" s="356"/>
      <c r="I10" s="356"/>
    </row>
    <row r="11" spans="1:10" ht="12.95" customHeight="1">
      <c r="A11" s="265"/>
      <c r="B11" s="265"/>
      <c r="C11" s="265"/>
      <c r="D11" s="265"/>
      <c r="E11" s="265"/>
      <c r="F11" s="265"/>
      <c r="G11" s="265"/>
      <c r="H11" s="265"/>
      <c r="I11" s="265"/>
      <c r="J11" s="265"/>
    </row>
  </sheetData>
  <sheetProtection sheet="1" objects="1" scenarios="1"/>
  <mergeCells count="7">
    <mergeCell ref="D1:J1"/>
    <mergeCell ref="B9:I9"/>
    <mergeCell ref="B4:I4"/>
    <mergeCell ref="B3:I3"/>
    <mergeCell ref="B5:I5"/>
    <mergeCell ref="B6:I6"/>
    <mergeCell ref="B8:I8"/>
  </mergeCells>
  <printOptions horizontalCentered="1"/>
  <pageMargins left="0.23622047244094491" right="0.23622047244094491" top="0.74803149606299213" bottom="0.86614173228346458" header="0.31496062992125984" footer="0.31496062992125984"/>
  <pageSetup orientation="portrait" r:id="rId1"/>
  <headerFooter>
    <oddFooter>&amp;C
&amp;G&amp;RPage &amp;P de &amp;N</oddFooter>
  </headerFooter>
  <colBreaks count="1" manualBreakCount="1">
    <brk id="10" max="1048575" man="1"/>
  </col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2029E-13AA-4D75-BBB3-4370B4313E1E}">
  <sheetPr codeName="Feuil11"/>
  <dimension ref="A1:K56"/>
  <sheetViews>
    <sheetView zoomScale="85" zoomScaleNormal="85" zoomScaleSheetLayoutView="70" workbookViewId="0"/>
  </sheetViews>
  <sheetFormatPr baseColWidth="10" defaultRowHeight="12.75"/>
  <cols>
    <col min="1" max="1" width="2.7109375" customWidth="1"/>
    <col min="3" max="3" width="14.28515625" customWidth="1"/>
    <col min="4" max="4" width="8.7109375" customWidth="1"/>
    <col min="10" max="10" width="11.85546875" customWidth="1"/>
    <col min="11" max="11" width="2.7109375" customWidth="1"/>
    <col min="12" max="12" width="3.7109375" customWidth="1"/>
  </cols>
  <sheetData>
    <row r="1" spans="1:11" s="20" customFormat="1" ht="45" customHeight="1">
      <c r="A1" s="266"/>
      <c r="B1" s="267"/>
      <c r="C1" s="267"/>
      <c r="D1" s="394" t="s">
        <v>397</v>
      </c>
      <c r="E1" s="394"/>
      <c r="F1" s="394"/>
      <c r="G1" s="394"/>
      <c r="H1" s="394"/>
      <c r="I1" s="394"/>
      <c r="J1" s="394"/>
      <c r="K1" s="395"/>
    </row>
    <row r="2" spans="1:11" ht="12" customHeight="1"/>
    <row r="3" spans="1:11" ht="15" customHeight="1">
      <c r="A3" s="20"/>
      <c r="B3" s="408" t="s">
        <v>283</v>
      </c>
      <c r="C3" s="408"/>
      <c r="D3" s="408"/>
      <c r="E3" s="408"/>
      <c r="F3" s="408"/>
      <c r="G3" s="408"/>
      <c r="H3" s="408"/>
      <c r="I3" s="408"/>
      <c r="J3" s="408"/>
      <c r="K3" s="355"/>
    </row>
    <row r="4" spans="1:11" ht="157.5" customHeight="1">
      <c r="B4" s="407" t="s">
        <v>387</v>
      </c>
      <c r="C4" s="407"/>
      <c r="D4" s="407"/>
      <c r="E4" s="407"/>
      <c r="F4" s="407"/>
      <c r="G4" s="407"/>
      <c r="H4" s="407"/>
      <c r="I4" s="407"/>
      <c r="J4" s="407"/>
      <c r="K4" s="357"/>
    </row>
    <row r="5" spans="1:11" ht="14.1" customHeight="1">
      <c r="B5" s="356"/>
      <c r="C5" s="356"/>
      <c r="D5" s="356"/>
      <c r="E5" s="356"/>
      <c r="F5" s="356"/>
      <c r="G5" s="356"/>
      <c r="H5" s="356"/>
      <c r="I5" s="356"/>
      <c r="J5" s="357"/>
      <c r="K5" s="357"/>
    </row>
    <row r="6" spans="1:11" ht="14.25">
      <c r="B6" s="408" t="s">
        <v>290</v>
      </c>
      <c r="C6" s="408"/>
      <c r="D6" s="408"/>
      <c r="E6" s="408"/>
      <c r="F6" s="408"/>
      <c r="G6" s="408"/>
      <c r="H6" s="408"/>
      <c r="I6" s="408"/>
      <c r="J6" s="408"/>
      <c r="K6" s="357"/>
    </row>
    <row r="7" spans="1:11" ht="231.75" customHeight="1">
      <c r="B7" s="407" t="s">
        <v>416</v>
      </c>
      <c r="C7" s="407"/>
      <c r="D7" s="407"/>
      <c r="E7" s="407"/>
      <c r="F7" s="407"/>
      <c r="G7" s="407"/>
      <c r="H7" s="407"/>
      <c r="I7" s="407"/>
      <c r="J7" s="407"/>
      <c r="K7" s="357"/>
    </row>
    <row r="8" spans="1:11" ht="14.1" customHeight="1">
      <c r="B8" s="356"/>
      <c r="C8" s="356"/>
      <c r="D8" s="356"/>
      <c r="E8" s="356"/>
      <c r="F8" s="356"/>
      <c r="G8" s="356"/>
      <c r="H8" s="356"/>
      <c r="I8" s="356"/>
      <c r="J8" s="356"/>
      <c r="K8" s="357"/>
    </row>
    <row r="9" spans="1:11" ht="14.25" customHeight="1" thickBot="1">
      <c r="B9" s="408" t="s">
        <v>284</v>
      </c>
      <c r="C9" s="408"/>
      <c r="D9" s="408"/>
      <c r="E9" s="408"/>
      <c r="F9" s="408"/>
      <c r="G9" s="408"/>
      <c r="H9" s="408"/>
      <c r="I9" s="408"/>
      <c r="J9" s="408"/>
      <c r="K9" s="357"/>
    </row>
    <row r="10" spans="1:11" ht="30.75" customHeight="1">
      <c r="B10" s="420" t="s">
        <v>285</v>
      </c>
      <c r="C10" s="421"/>
      <c r="D10" s="421"/>
      <c r="E10" s="422" t="s">
        <v>286</v>
      </c>
      <c r="F10" s="422"/>
      <c r="G10" s="422"/>
      <c r="H10" s="422" t="s">
        <v>287</v>
      </c>
      <c r="I10" s="422"/>
      <c r="J10" s="422"/>
      <c r="K10" s="357"/>
    </row>
    <row r="11" spans="1:11" ht="14.25">
      <c r="B11" s="407" t="s">
        <v>288</v>
      </c>
      <c r="C11" s="407"/>
      <c r="D11" s="407"/>
      <c r="E11" s="416">
        <v>2</v>
      </c>
      <c r="F11" s="416"/>
      <c r="G11" s="416"/>
      <c r="H11" s="416">
        <v>0.45</v>
      </c>
      <c r="I11" s="416"/>
      <c r="J11" s="416"/>
      <c r="K11" s="357"/>
    </row>
    <row r="12" spans="1:11" ht="15" thickBot="1">
      <c r="B12" s="417" t="s">
        <v>289</v>
      </c>
      <c r="C12" s="417"/>
      <c r="D12" s="417"/>
      <c r="E12" s="418">
        <v>1</v>
      </c>
      <c r="F12" s="418"/>
      <c r="G12" s="418"/>
      <c r="H12" s="418">
        <v>0.42</v>
      </c>
      <c r="I12" s="418"/>
      <c r="J12" s="418"/>
      <c r="K12" s="357"/>
    </row>
    <row r="13" spans="1:11" ht="61.5" customHeight="1">
      <c r="B13" s="419" t="s">
        <v>417</v>
      </c>
      <c r="C13" s="419"/>
      <c r="D13" s="419"/>
      <c r="E13" s="419"/>
      <c r="F13" s="419"/>
      <c r="G13" s="419"/>
      <c r="H13" s="419"/>
      <c r="I13" s="419"/>
      <c r="J13" s="419"/>
      <c r="K13" s="357"/>
    </row>
    <row r="14" spans="1:11" ht="14.25">
      <c r="B14" s="408" t="s">
        <v>291</v>
      </c>
      <c r="C14" s="408"/>
      <c r="D14" s="408"/>
      <c r="E14" s="408"/>
      <c r="F14" s="408"/>
      <c r="G14" s="408"/>
      <c r="H14" s="408"/>
      <c r="I14" s="408"/>
      <c r="J14" s="408"/>
      <c r="K14" s="357"/>
    </row>
    <row r="15" spans="1:11" ht="293.25" customHeight="1">
      <c r="B15" s="407" t="s">
        <v>292</v>
      </c>
      <c r="C15" s="407"/>
      <c r="D15" s="407"/>
      <c r="E15" s="407"/>
      <c r="F15" s="407"/>
      <c r="G15" s="407"/>
      <c r="H15" s="407"/>
      <c r="I15" s="407"/>
      <c r="J15" s="407"/>
      <c r="K15" s="357"/>
    </row>
    <row r="16" spans="1:11" ht="14.1" customHeight="1">
      <c r="B16" s="356"/>
      <c r="C16" s="356"/>
      <c r="D16" s="356"/>
      <c r="E16" s="356"/>
      <c r="F16" s="356"/>
      <c r="G16" s="356"/>
      <c r="H16" s="356"/>
      <c r="I16" s="356"/>
      <c r="J16" s="356"/>
      <c r="K16" s="357"/>
    </row>
    <row r="17" spans="2:11" ht="30" customHeight="1" thickBot="1">
      <c r="B17" s="408" t="s">
        <v>293</v>
      </c>
      <c r="C17" s="408"/>
      <c r="D17" s="408"/>
      <c r="E17" s="408"/>
      <c r="F17" s="408"/>
      <c r="G17" s="408"/>
      <c r="H17" s="408"/>
      <c r="I17" s="408"/>
      <c r="J17" s="408"/>
      <c r="K17" s="357"/>
    </row>
    <row r="18" spans="2:11" ht="28.5" customHeight="1">
      <c r="B18" s="420" t="s">
        <v>294</v>
      </c>
      <c r="C18" s="421"/>
      <c r="D18" s="421"/>
      <c r="E18" s="424" t="s">
        <v>295</v>
      </c>
      <c r="F18" s="425"/>
      <c r="G18" s="425"/>
      <c r="H18" s="424" t="s">
        <v>296</v>
      </c>
      <c r="I18" s="425"/>
      <c r="J18" s="425"/>
      <c r="K18" s="357"/>
    </row>
    <row r="19" spans="2:11" ht="45" customHeight="1">
      <c r="B19" s="426" t="s">
        <v>297</v>
      </c>
      <c r="C19" s="426"/>
      <c r="D19" s="426"/>
      <c r="E19" s="423" t="s">
        <v>302</v>
      </c>
      <c r="F19" s="423"/>
      <c r="G19" s="423"/>
      <c r="H19" s="407" t="s">
        <v>309</v>
      </c>
      <c r="I19" s="407"/>
      <c r="J19" s="407"/>
      <c r="K19" s="357"/>
    </row>
    <row r="20" spans="2:11" ht="60.75" customHeight="1">
      <c r="B20" s="407" t="s">
        <v>19</v>
      </c>
      <c r="C20" s="407"/>
      <c r="D20" s="407"/>
      <c r="E20" s="423" t="s">
        <v>303</v>
      </c>
      <c r="F20" s="423"/>
      <c r="G20" s="423"/>
      <c r="H20" s="407" t="s">
        <v>310</v>
      </c>
      <c r="I20" s="407"/>
      <c r="J20" s="407"/>
      <c r="K20" s="357"/>
    </row>
    <row r="21" spans="2:11" ht="62.25" customHeight="1">
      <c r="B21" s="407" t="s">
        <v>298</v>
      </c>
      <c r="C21" s="407"/>
      <c r="D21" s="407"/>
      <c r="E21" s="423" t="s">
        <v>304</v>
      </c>
      <c r="F21" s="423"/>
      <c r="G21" s="423"/>
      <c r="H21" s="407" t="s">
        <v>315</v>
      </c>
      <c r="I21" s="407"/>
      <c r="J21" s="407"/>
      <c r="K21" s="357"/>
    </row>
    <row r="22" spans="2:11" ht="63.75" customHeight="1">
      <c r="B22" s="407" t="s">
        <v>299</v>
      </c>
      <c r="C22" s="407"/>
      <c r="D22" s="407"/>
      <c r="E22" s="423" t="s">
        <v>305</v>
      </c>
      <c r="F22" s="423"/>
      <c r="G22" s="423"/>
      <c r="H22" s="407" t="s">
        <v>311</v>
      </c>
      <c r="I22" s="407"/>
      <c r="J22" s="407"/>
      <c r="K22" s="357"/>
    </row>
    <row r="23" spans="2:11" ht="45" customHeight="1">
      <c r="B23" s="407" t="s">
        <v>300</v>
      </c>
      <c r="C23" s="407"/>
      <c r="D23" s="407"/>
      <c r="E23" s="423" t="s">
        <v>306</v>
      </c>
      <c r="F23" s="423"/>
      <c r="G23" s="423"/>
      <c r="H23" s="407" t="s">
        <v>312</v>
      </c>
      <c r="I23" s="407"/>
      <c r="J23" s="407"/>
      <c r="K23" s="357"/>
    </row>
    <row r="24" spans="2:11" ht="45" customHeight="1">
      <c r="B24" s="407" t="s">
        <v>301</v>
      </c>
      <c r="C24" s="407"/>
      <c r="D24" s="407"/>
      <c r="E24" s="423" t="s">
        <v>307</v>
      </c>
      <c r="F24" s="423"/>
      <c r="G24" s="423"/>
      <c r="H24" s="407" t="s">
        <v>313</v>
      </c>
      <c r="I24" s="407"/>
      <c r="J24" s="407"/>
      <c r="K24" s="357"/>
    </row>
    <row r="25" spans="2:11" ht="45" customHeight="1" thickBot="1">
      <c r="B25" s="417" t="s">
        <v>17</v>
      </c>
      <c r="C25" s="417"/>
      <c r="D25" s="417"/>
      <c r="E25" s="423" t="s">
        <v>308</v>
      </c>
      <c r="F25" s="423"/>
      <c r="G25" s="423"/>
      <c r="H25" s="407" t="s">
        <v>314</v>
      </c>
      <c r="I25" s="407"/>
      <c r="J25" s="407"/>
      <c r="K25" s="357"/>
    </row>
    <row r="26" spans="2:11" ht="14.25">
      <c r="B26" s="419" t="s">
        <v>316</v>
      </c>
      <c r="C26" s="419"/>
      <c r="D26" s="419"/>
      <c r="E26" s="419"/>
      <c r="F26" s="419"/>
      <c r="G26" s="419"/>
      <c r="H26" s="419"/>
      <c r="I26" s="419"/>
      <c r="J26" s="419"/>
      <c r="K26" s="357"/>
    </row>
    <row r="27" spans="2:11" ht="14.1" customHeight="1">
      <c r="B27" s="356"/>
      <c r="C27" s="356"/>
      <c r="D27" s="356"/>
      <c r="E27" s="356"/>
      <c r="F27" s="356"/>
      <c r="G27" s="356"/>
      <c r="H27" s="356"/>
      <c r="I27" s="356"/>
      <c r="J27" s="357"/>
      <c r="K27" s="357"/>
    </row>
    <row r="28" spans="2:11" ht="14.25">
      <c r="B28" s="408" t="s">
        <v>317</v>
      </c>
      <c r="C28" s="408"/>
      <c r="D28" s="408"/>
      <c r="E28" s="408"/>
      <c r="F28" s="408"/>
      <c r="G28" s="408"/>
      <c r="H28" s="408"/>
      <c r="I28" s="408"/>
      <c r="J28" s="408"/>
      <c r="K28" s="357"/>
    </row>
    <row r="29" spans="2:11" ht="82.5" customHeight="1">
      <c r="B29" s="407" t="s">
        <v>318</v>
      </c>
      <c r="C29" s="407"/>
      <c r="D29" s="407"/>
      <c r="E29" s="407"/>
      <c r="F29" s="407"/>
      <c r="G29" s="407"/>
      <c r="H29" s="407"/>
      <c r="I29" s="407"/>
      <c r="J29" s="407"/>
      <c r="K29" s="357"/>
    </row>
    <row r="30" spans="2:11" ht="14.1" customHeight="1">
      <c r="B30" s="356"/>
      <c r="C30" s="356"/>
      <c r="D30" s="356"/>
      <c r="E30" s="356"/>
      <c r="F30" s="356"/>
      <c r="G30" s="356"/>
      <c r="H30" s="356"/>
      <c r="I30" s="356"/>
      <c r="J30" s="356"/>
      <c r="K30" s="357"/>
    </row>
    <row r="31" spans="2:11" ht="15" thickBot="1">
      <c r="B31" s="408" t="s">
        <v>321</v>
      </c>
      <c r="C31" s="408"/>
      <c r="D31" s="408"/>
      <c r="E31" s="408"/>
      <c r="F31" s="408"/>
      <c r="G31" s="408"/>
      <c r="H31" s="408"/>
      <c r="I31" s="408"/>
      <c r="J31" s="408"/>
      <c r="K31" s="357"/>
    </row>
    <row r="32" spans="2:11" ht="14.25">
      <c r="B32" s="420" t="s">
        <v>319</v>
      </c>
      <c r="C32" s="421"/>
      <c r="D32" s="421"/>
      <c r="E32" s="420" t="s">
        <v>320</v>
      </c>
      <c r="F32" s="421"/>
      <c r="G32" s="421"/>
      <c r="H32" s="420" t="s">
        <v>342</v>
      </c>
      <c r="I32" s="421"/>
      <c r="J32" s="421"/>
      <c r="K32" s="357"/>
    </row>
    <row r="33" spans="2:11" ht="14.25">
      <c r="B33" s="428" t="s">
        <v>322</v>
      </c>
      <c r="C33" s="428"/>
      <c r="D33" s="428"/>
      <c r="E33" s="429" t="s">
        <v>323</v>
      </c>
      <c r="F33" s="429"/>
      <c r="G33" s="429"/>
      <c r="H33" s="407"/>
      <c r="I33" s="407"/>
      <c r="J33" s="407"/>
      <c r="K33" s="357"/>
    </row>
    <row r="34" spans="2:11" ht="29.25" customHeight="1">
      <c r="B34" s="407" t="s">
        <v>363</v>
      </c>
      <c r="C34" s="407"/>
      <c r="D34" s="407"/>
      <c r="E34" s="427" t="s">
        <v>324</v>
      </c>
      <c r="F34" s="427"/>
      <c r="G34" s="427"/>
      <c r="H34" s="407"/>
      <c r="I34" s="407"/>
      <c r="J34" s="407"/>
      <c r="K34" s="357"/>
    </row>
    <row r="35" spans="2:11" ht="31.5" customHeight="1">
      <c r="B35" s="407"/>
      <c r="C35" s="407"/>
      <c r="D35" s="407"/>
      <c r="E35" s="427" t="s">
        <v>325</v>
      </c>
      <c r="F35" s="427"/>
      <c r="G35" s="427"/>
      <c r="H35" s="407" t="s">
        <v>350</v>
      </c>
      <c r="I35" s="407"/>
      <c r="J35" s="407"/>
      <c r="K35" s="357"/>
    </row>
    <row r="36" spans="2:11" ht="29.25" customHeight="1">
      <c r="B36" s="407"/>
      <c r="C36" s="407"/>
      <c r="D36" s="407"/>
      <c r="E36" s="427" t="s">
        <v>326</v>
      </c>
      <c r="F36" s="427"/>
      <c r="G36" s="427"/>
      <c r="H36" s="407" t="s">
        <v>349</v>
      </c>
      <c r="I36" s="407"/>
      <c r="J36" s="407"/>
      <c r="K36" s="357"/>
    </row>
    <row r="37" spans="2:11" ht="14.25">
      <c r="B37" s="407"/>
      <c r="C37" s="407"/>
      <c r="D37" s="407"/>
      <c r="E37" s="429" t="s">
        <v>32</v>
      </c>
      <c r="F37" s="429"/>
      <c r="G37" s="429"/>
      <c r="H37" s="407"/>
      <c r="I37" s="407"/>
      <c r="J37" s="407"/>
      <c r="K37" s="357"/>
    </row>
    <row r="38" spans="2:11" ht="19.5" customHeight="1">
      <c r="B38" s="407"/>
      <c r="C38" s="407"/>
      <c r="D38" s="407"/>
      <c r="E38" s="427" t="s">
        <v>327</v>
      </c>
      <c r="F38" s="427"/>
      <c r="G38" s="427"/>
      <c r="H38" s="407"/>
      <c r="I38" s="407"/>
      <c r="J38" s="407"/>
      <c r="K38" s="357"/>
    </row>
    <row r="39" spans="2:11" ht="70.5" customHeight="1">
      <c r="B39" s="407"/>
      <c r="C39" s="407"/>
      <c r="D39" s="407"/>
      <c r="E39" s="427" t="s">
        <v>328</v>
      </c>
      <c r="F39" s="427"/>
      <c r="G39" s="427"/>
      <c r="H39" s="407" t="s">
        <v>348</v>
      </c>
      <c r="I39" s="407"/>
      <c r="J39" s="407"/>
      <c r="K39" s="357"/>
    </row>
    <row r="40" spans="2:11" ht="30" customHeight="1">
      <c r="B40" s="407"/>
      <c r="C40" s="407"/>
      <c r="D40" s="407"/>
      <c r="E40" s="427" t="s">
        <v>329</v>
      </c>
      <c r="F40" s="427"/>
      <c r="G40" s="427"/>
      <c r="H40" s="407" t="s">
        <v>347</v>
      </c>
      <c r="I40" s="407"/>
      <c r="J40" s="407"/>
      <c r="K40" s="357"/>
    </row>
    <row r="41" spans="2:11" ht="14.25">
      <c r="B41" s="407"/>
      <c r="C41" s="407"/>
      <c r="D41" s="407"/>
      <c r="E41" s="429" t="s">
        <v>31</v>
      </c>
      <c r="F41" s="429"/>
      <c r="G41" s="429"/>
      <c r="H41" s="407"/>
      <c r="I41" s="407"/>
      <c r="J41" s="407"/>
      <c r="K41" s="357"/>
    </row>
    <row r="42" spans="2:11" ht="45" customHeight="1">
      <c r="B42" s="407"/>
      <c r="C42" s="407"/>
      <c r="D42" s="407"/>
      <c r="E42" s="427" t="s">
        <v>330</v>
      </c>
      <c r="F42" s="427"/>
      <c r="G42" s="427"/>
      <c r="H42" s="407" t="s">
        <v>371</v>
      </c>
      <c r="I42" s="407"/>
      <c r="J42" s="407"/>
      <c r="K42" s="357"/>
    </row>
    <row r="43" spans="2:11" ht="14.25">
      <c r="B43" s="407"/>
      <c r="C43" s="407"/>
      <c r="D43" s="407"/>
      <c r="E43" s="429" t="s">
        <v>34</v>
      </c>
      <c r="F43" s="429"/>
      <c r="G43" s="429"/>
      <c r="H43" s="407"/>
      <c r="I43" s="407"/>
      <c r="J43" s="407"/>
      <c r="K43" s="357"/>
    </row>
    <row r="44" spans="2:11" ht="45" customHeight="1">
      <c r="B44" s="407"/>
      <c r="C44" s="407"/>
      <c r="D44" s="407"/>
      <c r="E44" s="427" t="s">
        <v>331</v>
      </c>
      <c r="F44" s="427"/>
      <c r="G44" s="427"/>
      <c r="H44" s="407" t="s">
        <v>332</v>
      </c>
      <c r="I44" s="407"/>
      <c r="J44" s="407"/>
      <c r="K44" s="357"/>
    </row>
    <row r="45" spans="2:11" ht="14.25">
      <c r="B45" s="430" t="s">
        <v>72</v>
      </c>
      <c r="C45" s="430"/>
      <c r="D45" s="430"/>
      <c r="E45" s="427"/>
      <c r="F45" s="427"/>
      <c r="G45" s="427"/>
      <c r="H45" s="407"/>
      <c r="I45" s="407"/>
      <c r="J45" s="407"/>
      <c r="K45" s="357"/>
    </row>
    <row r="46" spans="2:11" ht="45" customHeight="1">
      <c r="B46" s="407" t="s">
        <v>356</v>
      </c>
      <c r="C46" s="407"/>
      <c r="D46" s="407"/>
      <c r="E46" s="427" t="s">
        <v>333</v>
      </c>
      <c r="F46" s="427"/>
      <c r="G46" s="427"/>
      <c r="H46" s="407" t="s">
        <v>338</v>
      </c>
      <c r="I46" s="407"/>
      <c r="J46" s="407"/>
      <c r="K46" s="357"/>
    </row>
    <row r="47" spans="2:11" ht="30.75" customHeight="1">
      <c r="B47" s="407"/>
      <c r="C47" s="407"/>
      <c r="D47" s="407"/>
      <c r="E47" s="427" t="s">
        <v>334</v>
      </c>
      <c r="F47" s="427"/>
      <c r="G47" s="427"/>
      <c r="H47" s="407" t="s">
        <v>339</v>
      </c>
      <c r="I47" s="407"/>
      <c r="J47" s="407"/>
      <c r="K47" s="357"/>
    </row>
    <row r="48" spans="2:11" ht="29.25" customHeight="1">
      <c r="B48" s="407"/>
      <c r="C48" s="407"/>
      <c r="D48" s="407"/>
      <c r="E48" s="427" t="s">
        <v>335</v>
      </c>
      <c r="F48" s="427"/>
      <c r="G48" s="427"/>
      <c r="H48" s="407" t="s">
        <v>340</v>
      </c>
      <c r="I48" s="407"/>
      <c r="J48" s="407"/>
      <c r="K48" s="357"/>
    </row>
    <row r="49" spans="1:11" ht="14.25">
      <c r="B49" s="407"/>
      <c r="C49" s="407"/>
      <c r="D49" s="407"/>
      <c r="E49" s="427" t="s">
        <v>336</v>
      </c>
      <c r="F49" s="427"/>
      <c r="G49" s="427"/>
      <c r="H49" s="407" t="s">
        <v>338</v>
      </c>
      <c r="I49" s="407"/>
      <c r="J49" s="407"/>
      <c r="K49" s="357"/>
    </row>
    <row r="50" spans="1:11" ht="57.75" customHeight="1">
      <c r="B50" s="407"/>
      <c r="C50" s="407"/>
      <c r="D50" s="407"/>
      <c r="E50" s="427" t="s">
        <v>337</v>
      </c>
      <c r="F50" s="427"/>
      <c r="G50" s="427"/>
      <c r="H50" s="407" t="s">
        <v>341</v>
      </c>
      <c r="I50" s="407"/>
      <c r="J50" s="407"/>
      <c r="K50" s="357"/>
    </row>
    <row r="51" spans="1:11" ht="14.25">
      <c r="B51" s="430" t="s">
        <v>35</v>
      </c>
      <c r="C51" s="430"/>
      <c r="D51" s="430"/>
      <c r="E51" s="427"/>
      <c r="F51" s="427"/>
      <c r="G51" s="427"/>
      <c r="H51" s="407"/>
      <c r="I51" s="407"/>
      <c r="J51" s="407"/>
      <c r="K51" s="357"/>
    </row>
    <row r="52" spans="1:11" ht="32.25" customHeight="1">
      <c r="B52" s="407"/>
      <c r="C52" s="407"/>
      <c r="D52" s="407"/>
      <c r="E52" s="427" t="s">
        <v>343</v>
      </c>
      <c r="F52" s="427"/>
      <c r="G52" s="427"/>
      <c r="H52" s="407" t="s">
        <v>346</v>
      </c>
      <c r="I52" s="407"/>
      <c r="J52" s="407"/>
      <c r="K52" s="357"/>
    </row>
    <row r="53" spans="1:11" ht="32.25" customHeight="1" thickBot="1">
      <c r="B53" s="407"/>
      <c r="C53" s="407"/>
      <c r="D53" s="407"/>
      <c r="E53" s="427" t="s">
        <v>344</v>
      </c>
      <c r="F53" s="427"/>
      <c r="G53" s="427"/>
      <c r="H53" s="407" t="s">
        <v>345</v>
      </c>
      <c r="I53" s="407"/>
      <c r="J53" s="407"/>
      <c r="K53" s="357"/>
    </row>
    <row r="54" spans="1:11" ht="108.75" customHeight="1">
      <c r="B54" s="419" t="s">
        <v>388</v>
      </c>
      <c r="C54" s="419"/>
      <c r="D54" s="419"/>
      <c r="E54" s="419"/>
      <c r="F54" s="419"/>
      <c r="G54" s="419"/>
      <c r="H54" s="419"/>
      <c r="I54" s="419"/>
      <c r="J54" s="419"/>
      <c r="K54" s="357"/>
    </row>
    <row r="55" spans="1:11" ht="14.25">
      <c r="B55" s="260"/>
      <c r="C55" s="260"/>
      <c r="D55" s="260"/>
      <c r="E55" s="260"/>
      <c r="F55" s="260"/>
      <c r="G55" s="260"/>
      <c r="H55" s="260"/>
      <c r="I55" s="260"/>
      <c r="J55" s="260"/>
      <c r="K55" s="357"/>
    </row>
    <row r="56" spans="1:11" ht="12.95" customHeight="1">
      <c r="A56" s="265"/>
      <c r="B56" s="265"/>
      <c r="C56" s="265"/>
      <c r="D56" s="265"/>
      <c r="E56" s="265"/>
      <c r="F56" s="265"/>
      <c r="G56" s="265"/>
      <c r="H56" s="265"/>
      <c r="I56" s="265"/>
      <c r="J56" s="265"/>
      <c r="K56" s="265"/>
    </row>
  </sheetData>
  <sheetProtection sheet="1" objects="1" scenarios="1"/>
  <mergeCells count="104">
    <mergeCell ref="H41:J41"/>
    <mergeCell ref="E42:G42"/>
    <mergeCell ref="H42:J42"/>
    <mergeCell ref="E39:G39"/>
    <mergeCell ref="H39:J39"/>
    <mergeCell ref="E40:G40"/>
    <mergeCell ref="H40:J40"/>
    <mergeCell ref="E37:G37"/>
    <mergeCell ref="H37:J37"/>
    <mergeCell ref="B54:J54"/>
    <mergeCell ref="E34:G34"/>
    <mergeCell ref="H34:J34"/>
    <mergeCell ref="E35:G35"/>
    <mergeCell ref="H35:J35"/>
    <mergeCell ref="E36:G36"/>
    <mergeCell ref="H36:J36"/>
    <mergeCell ref="B52:D52"/>
    <mergeCell ref="E52:G52"/>
    <mergeCell ref="H52:J52"/>
    <mergeCell ref="B53:D53"/>
    <mergeCell ref="E53:G53"/>
    <mergeCell ref="H53:J53"/>
    <mergeCell ref="B50:D50"/>
    <mergeCell ref="E50:G50"/>
    <mergeCell ref="H50:J50"/>
    <mergeCell ref="B51:D51"/>
    <mergeCell ref="E51:G51"/>
    <mergeCell ref="H51:J51"/>
    <mergeCell ref="B48:D48"/>
    <mergeCell ref="E48:G48"/>
    <mergeCell ref="H48:J48"/>
    <mergeCell ref="B47:D47"/>
    <mergeCell ref="E47:G47"/>
    <mergeCell ref="B49:D49"/>
    <mergeCell ref="E49:G49"/>
    <mergeCell ref="H49:J49"/>
    <mergeCell ref="B32:D32"/>
    <mergeCell ref="E32:G32"/>
    <mergeCell ref="H32:J32"/>
    <mergeCell ref="B33:D33"/>
    <mergeCell ref="E33:G33"/>
    <mergeCell ref="H33:J33"/>
    <mergeCell ref="E38:G38"/>
    <mergeCell ref="H38:J38"/>
    <mergeCell ref="H47:J47"/>
    <mergeCell ref="B34:D44"/>
    <mergeCell ref="B45:D45"/>
    <mergeCell ref="E45:G45"/>
    <mergeCell ref="H45:J45"/>
    <mergeCell ref="B46:D46"/>
    <mergeCell ref="E46:G46"/>
    <mergeCell ref="H46:J46"/>
    <mergeCell ref="E43:G43"/>
    <mergeCell ref="H43:J43"/>
    <mergeCell ref="E44:G44"/>
    <mergeCell ref="H44:J44"/>
    <mergeCell ref="E41:G41"/>
    <mergeCell ref="B24:D24"/>
    <mergeCell ref="E24:G24"/>
    <mergeCell ref="H24:J24"/>
    <mergeCell ref="B28:J28"/>
    <mergeCell ref="B29:J29"/>
    <mergeCell ref="B31:J31"/>
    <mergeCell ref="B22:D22"/>
    <mergeCell ref="E22:G22"/>
    <mergeCell ref="H22:J22"/>
    <mergeCell ref="B23:D23"/>
    <mergeCell ref="E23:G23"/>
    <mergeCell ref="H23:J23"/>
    <mergeCell ref="B25:D25"/>
    <mergeCell ref="E25:G25"/>
    <mergeCell ref="H25:J25"/>
    <mergeCell ref="B26:J26"/>
    <mergeCell ref="B20:D20"/>
    <mergeCell ref="E20:G20"/>
    <mergeCell ref="H20:J20"/>
    <mergeCell ref="B21:D21"/>
    <mergeCell ref="E21:G21"/>
    <mergeCell ref="H21:J21"/>
    <mergeCell ref="B17:J17"/>
    <mergeCell ref="B18:D18"/>
    <mergeCell ref="E18:G18"/>
    <mergeCell ref="H18:J18"/>
    <mergeCell ref="B19:D19"/>
    <mergeCell ref="E19:G19"/>
    <mergeCell ref="H19:J19"/>
    <mergeCell ref="B14:J14"/>
    <mergeCell ref="B15:J15"/>
    <mergeCell ref="B10:D10"/>
    <mergeCell ref="B4:J4"/>
    <mergeCell ref="E10:G10"/>
    <mergeCell ref="H10:J10"/>
    <mergeCell ref="B9:J9"/>
    <mergeCell ref="B11:D11"/>
    <mergeCell ref="E11:G11"/>
    <mergeCell ref="B3:J3"/>
    <mergeCell ref="H11:J11"/>
    <mergeCell ref="B12:D12"/>
    <mergeCell ref="E12:G12"/>
    <mergeCell ref="H12:J12"/>
    <mergeCell ref="B13:J13"/>
    <mergeCell ref="B6:J6"/>
    <mergeCell ref="B7:J7"/>
    <mergeCell ref="D1:K1"/>
  </mergeCells>
  <printOptions horizontalCentered="1"/>
  <pageMargins left="0.23622047244094491" right="0.23622047244094491" top="0.74803149606299213" bottom="0.86614173228346458" header="0.31496062992125984" footer="0.31496062992125984"/>
  <pageSetup scale="76" orientation="portrait" r:id="rId1"/>
  <headerFooter>
    <oddFooter>&amp;C
&amp;G&amp;RPage &amp;P de &amp;N</oddFooter>
  </headerFooter>
  <rowBreaks count="2" manualBreakCount="2">
    <brk id="13" max="10" man="1"/>
    <brk id="27" max="10" man="1"/>
  </rowBreaks>
  <drawing r:id="rId2"/>
  <legacyDrawingHF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9">
    <tabColor rgb="FFBDE3F2"/>
  </sheetPr>
  <dimension ref="A1:N553"/>
  <sheetViews>
    <sheetView zoomScaleNormal="100" zoomScaleSheetLayoutView="85" zoomScalePageLayoutView="55" workbookViewId="0">
      <selection activeCell="D327" sqref="D327"/>
    </sheetView>
  </sheetViews>
  <sheetFormatPr baseColWidth="10" defaultColWidth="11.42578125" defaultRowHeight="12.75" outlineLevelRow="1"/>
  <cols>
    <col min="1" max="1" width="2.7109375" customWidth="1"/>
    <col min="2" max="2" width="40.42578125" customWidth="1"/>
    <col min="3" max="8" width="10.7109375" customWidth="1"/>
    <col min="9" max="9" width="11.42578125" customWidth="1"/>
    <col min="10" max="10" width="1.7109375" customWidth="1"/>
    <col min="11" max="11" width="40.42578125" customWidth="1"/>
    <col min="12" max="12" width="97.28515625" customWidth="1"/>
    <col min="13" max="13" width="1.7109375" customWidth="1"/>
  </cols>
  <sheetData>
    <row r="1" spans="1:12" s="20" customFormat="1" ht="45" customHeight="1">
      <c r="A1" s="266"/>
      <c r="B1" s="267"/>
      <c r="C1" s="394" t="s">
        <v>39</v>
      </c>
      <c r="D1" s="394"/>
      <c r="E1" s="394"/>
      <c r="F1" s="394"/>
      <c r="G1" s="394"/>
      <c r="H1" s="394"/>
      <c r="I1" s="394"/>
    </row>
    <row r="2" spans="1:12" s="20" customFormat="1" ht="12" customHeight="1">
      <c r="A2" s="40"/>
      <c r="B2" s="40"/>
      <c r="C2" s="40"/>
      <c r="D2" s="40"/>
      <c r="E2" s="40"/>
      <c r="F2" s="40"/>
      <c r="G2" s="41"/>
      <c r="H2" s="41"/>
      <c r="I2" s="41"/>
    </row>
    <row r="3" spans="1:12" s="20" customFormat="1" ht="27" customHeight="1">
      <c r="B3" s="431" t="s">
        <v>365</v>
      </c>
      <c r="C3" s="431"/>
      <c r="D3" s="431"/>
      <c r="E3" s="431"/>
      <c r="F3" s="431"/>
      <c r="G3" s="431"/>
      <c r="H3" s="431"/>
      <c r="I3" s="431"/>
      <c r="J3" s="361"/>
      <c r="K3" s="362" t="s">
        <v>405</v>
      </c>
      <c r="L3" s="42"/>
    </row>
    <row r="4" spans="1:12" s="20" customFormat="1" ht="20.25" customHeight="1" thickBot="1">
      <c r="B4" s="434" t="s">
        <v>46</v>
      </c>
      <c r="C4" s="434"/>
      <c r="D4" s="434"/>
      <c r="E4" s="434"/>
      <c r="F4" s="434"/>
      <c r="G4" s="434"/>
      <c r="H4" s="434"/>
      <c r="I4" s="435"/>
      <c r="J4" s="43"/>
    </row>
    <row r="5" spans="1:12" s="20" customFormat="1" ht="15.75">
      <c r="B5" s="44"/>
      <c r="C5" s="45" t="s">
        <v>57</v>
      </c>
      <c r="D5" s="45" t="s">
        <v>58</v>
      </c>
      <c r="E5" s="45" t="s">
        <v>180</v>
      </c>
      <c r="F5" s="45" t="s">
        <v>181</v>
      </c>
      <c r="G5" s="45" t="s">
        <v>182</v>
      </c>
      <c r="H5" s="45" t="s">
        <v>183</v>
      </c>
      <c r="I5" s="45"/>
      <c r="J5" s="43"/>
      <c r="K5" s="46" t="s">
        <v>426</v>
      </c>
      <c r="L5" s="46" t="s">
        <v>427</v>
      </c>
    </row>
    <row r="6" spans="1:12" s="20" customFormat="1" ht="15">
      <c r="B6" s="432" t="s">
        <v>201</v>
      </c>
      <c r="C6" s="432"/>
      <c r="D6" s="432"/>
      <c r="E6" s="432"/>
      <c r="F6" s="432"/>
      <c r="G6" s="432"/>
      <c r="H6" s="432"/>
      <c r="I6" s="432"/>
      <c r="J6" s="43"/>
      <c r="K6" s="46"/>
      <c r="L6" s="46"/>
    </row>
    <row r="7" spans="1:12" s="20" customFormat="1" ht="27">
      <c r="B7" s="80" t="s">
        <v>40</v>
      </c>
      <c r="C7" s="81"/>
      <c r="D7" s="81"/>
      <c r="E7" s="81"/>
      <c r="F7" s="81"/>
      <c r="G7" s="81"/>
      <c r="H7" s="81"/>
      <c r="I7" s="81"/>
      <c r="J7" s="83"/>
      <c r="K7" s="84"/>
      <c r="L7" s="89" t="s">
        <v>390</v>
      </c>
    </row>
    <row r="8" spans="1:12" s="20" customFormat="1" ht="14.25">
      <c r="B8" s="1" t="s">
        <v>233</v>
      </c>
      <c r="C8" s="2"/>
      <c r="D8" s="3">
        <v>0</v>
      </c>
      <c r="E8" s="3">
        <v>0</v>
      </c>
      <c r="F8" s="3">
        <v>0</v>
      </c>
      <c r="G8" s="3">
        <v>0</v>
      </c>
      <c r="H8" s="3">
        <v>0</v>
      </c>
      <c r="I8" s="244"/>
      <c r="J8" s="85"/>
      <c r="K8" s="16" t="s">
        <v>419</v>
      </c>
      <c r="L8" s="86"/>
    </row>
    <row r="9" spans="1:12" s="20" customFormat="1" ht="14.25">
      <c r="B9" s="4" t="s">
        <v>233</v>
      </c>
      <c r="C9" s="5"/>
      <c r="D9" s="6">
        <v>0</v>
      </c>
      <c r="E9" s="6">
        <v>0</v>
      </c>
      <c r="F9" s="6">
        <v>0</v>
      </c>
      <c r="G9" s="6">
        <v>0</v>
      </c>
      <c r="H9" s="6">
        <v>0</v>
      </c>
      <c r="I9" s="245"/>
      <c r="J9" s="83"/>
      <c r="K9" s="17" t="s">
        <v>419</v>
      </c>
      <c r="L9" s="87"/>
    </row>
    <row r="10" spans="1:12" s="20" customFormat="1" ht="14.25">
      <c r="B10" s="1" t="s">
        <v>233</v>
      </c>
      <c r="C10" s="2"/>
      <c r="D10" s="3">
        <v>0</v>
      </c>
      <c r="E10" s="3">
        <v>0</v>
      </c>
      <c r="F10" s="3">
        <v>0</v>
      </c>
      <c r="G10" s="3">
        <v>0</v>
      </c>
      <c r="H10" s="3">
        <v>0</v>
      </c>
      <c r="I10" s="244"/>
      <c r="J10" s="85"/>
      <c r="K10" s="16" t="s">
        <v>419</v>
      </c>
      <c r="L10" s="86"/>
    </row>
    <row r="11" spans="1:12" s="20" customFormat="1" ht="14.25">
      <c r="B11" s="4" t="s">
        <v>233</v>
      </c>
      <c r="C11" s="7"/>
      <c r="D11" s="6">
        <v>0</v>
      </c>
      <c r="E11" s="6">
        <v>0</v>
      </c>
      <c r="F11" s="6">
        <v>0</v>
      </c>
      <c r="G11" s="6">
        <v>0</v>
      </c>
      <c r="H11" s="6">
        <v>0</v>
      </c>
      <c r="I11" s="245"/>
      <c r="J11" s="83"/>
      <c r="K11" s="17" t="s">
        <v>419</v>
      </c>
      <c r="L11" s="87"/>
    </row>
    <row r="12" spans="1:12" s="20" customFormat="1" ht="14.25">
      <c r="B12" s="1" t="s">
        <v>233</v>
      </c>
      <c r="C12" s="2"/>
      <c r="D12" s="3">
        <v>0</v>
      </c>
      <c r="E12" s="3">
        <v>0</v>
      </c>
      <c r="F12" s="3">
        <v>0</v>
      </c>
      <c r="G12" s="3">
        <v>0</v>
      </c>
      <c r="H12" s="3">
        <v>0</v>
      </c>
      <c r="I12" s="244"/>
      <c r="J12" s="85"/>
      <c r="K12" s="16" t="s">
        <v>419</v>
      </c>
      <c r="L12" s="86"/>
    </row>
    <row r="13" spans="1:12" s="20" customFormat="1" ht="14.25">
      <c r="B13" s="4" t="s">
        <v>233</v>
      </c>
      <c r="C13" s="5"/>
      <c r="D13" s="6">
        <v>0</v>
      </c>
      <c r="E13" s="6">
        <v>0</v>
      </c>
      <c r="F13" s="6">
        <v>0</v>
      </c>
      <c r="G13" s="6">
        <v>0</v>
      </c>
      <c r="H13" s="6">
        <v>0</v>
      </c>
      <c r="I13" s="245"/>
      <c r="J13" s="83"/>
      <c r="K13" s="17" t="s">
        <v>419</v>
      </c>
      <c r="L13" s="87"/>
    </row>
    <row r="14" spans="1:12" s="20" customFormat="1" ht="14.25">
      <c r="B14" s="1" t="s">
        <v>233</v>
      </c>
      <c r="C14" s="2"/>
      <c r="D14" s="3">
        <v>0</v>
      </c>
      <c r="E14" s="3">
        <v>0</v>
      </c>
      <c r="F14" s="3">
        <v>0</v>
      </c>
      <c r="G14" s="3">
        <v>0</v>
      </c>
      <c r="H14" s="3">
        <v>0</v>
      </c>
      <c r="I14" s="244"/>
      <c r="J14" s="85"/>
      <c r="K14" s="16" t="s">
        <v>419</v>
      </c>
      <c r="L14" s="86"/>
    </row>
    <row r="15" spans="1:12" s="20" customFormat="1" ht="14.25">
      <c r="B15" s="4" t="s">
        <v>233</v>
      </c>
      <c r="C15" s="7"/>
      <c r="D15" s="6">
        <v>0</v>
      </c>
      <c r="E15" s="6">
        <v>0</v>
      </c>
      <c r="F15" s="6">
        <v>0</v>
      </c>
      <c r="G15" s="6">
        <v>0</v>
      </c>
      <c r="H15" s="6">
        <v>0</v>
      </c>
      <c r="I15" s="245"/>
      <c r="J15" s="83"/>
      <c r="K15" s="17" t="s">
        <v>419</v>
      </c>
      <c r="L15" s="87"/>
    </row>
    <row r="16" spans="1:12" s="20" customFormat="1" ht="14.25">
      <c r="B16" s="1" t="s">
        <v>233</v>
      </c>
      <c r="C16" s="2"/>
      <c r="D16" s="3">
        <v>0</v>
      </c>
      <c r="E16" s="3">
        <v>0</v>
      </c>
      <c r="F16" s="3">
        <v>0</v>
      </c>
      <c r="G16" s="3">
        <v>0</v>
      </c>
      <c r="H16" s="3">
        <v>0</v>
      </c>
      <c r="I16" s="244"/>
      <c r="J16" s="85"/>
      <c r="K16" s="16" t="s">
        <v>419</v>
      </c>
      <c r="L16" s="86"/>
    </row>
    <row r="17" spans="2:12" s="20" customFormat="1" ht="14.25" hidden="1" outlineLevel="1">
      <c r="B17" s="4" t="s">
        <v>233</v>
      </c>
      <c r="C17" s="5"/>
      <c r="D17" s="6">
        <v>0</v>
      </c>
      <c r="E17" s="6">
        <v>0</v>
      </c>
      <c r="F17" s="6">
        <v>0</v>
      </c>
      <c r="G17" s="6">
        <v>0</v>
      </c>
      <c r="H17" s="6">
        <v>0</v>
      </c>
      <c r="I17" s="245"/>
      <c r="J17" s="83"/>
      <c r="K17" s="17" t="s">
        <v>419</v>
      </c>
      <c r="L17" s="87"/>
    </row>
    <row r="18" spans="2:12" s="20" customFormat="1" ht="14.25" hidden="1" outlineLevel="1">
      <c r="B18" s="1" t="s">
        <v>233</v>
      </c>
      <c r="C18" s="2"/>
      <c r="D18" s="3">
        <v>0</v>
      </c>
      <c r="E18" s="3">
        <v>0</v>
      </c>
      <c r="F18" s="3">
        <v>0</v>
      </c>
      <c r="G18" s="3">
        <v>0</v>
      </c>
      <c r="H18" s="3">
        <v>0</v>
      </c>
      <c r="I18" s="244"/>
      <c r="J18" s="85"/>
      <c r="K18" s="16" t="s">
        <v>419</v>
      </c>
      <c r="L18" s="86"/>
    </row>
    <row r="19" spans="2:12" s="20" customFormat="1" ht="14.25" hidden="1" outlineLevel="1">
      <c r="B19" s="4" t="s">
        <v>233</v>
      </c>
      <c r="C19" s="7"/>
      <c r="D19" s="6">
        <v>0</v>
      </c>
      <c r="E19" s="6">
        <v>0</v>
      </c>
      <c r="F19" s="6">
        <v>0</v>
      </c>
      <c r="G19" s="6">
        <v>0</v>
      </c>
      <c r="H19" s="6">
        <v>0</v>
      </c>
      <c r="I19" s="245"/>
      <c r="J19" s="83"/>
      <c r="K19" s="17" t="s">
        <v>419</v>
      </c>
      <c r="L19" s="87"/>
    </row>
    <row r="20" spans="2:12" s="20" customFormat="1" ht="14.25" hidden="1" outlineLevel="1">
      <c r="B20" s="1" t="s">
        <v>233</v>
      </c>
      <c r="C20" s="2"/>
      <c r="D20" s="3">
        <v>0</v>
      </c>
      <c r="E20" s="3">
        <v>0</v>
      </c>
      <c r="F20" s="3">
        <v>0</v>
      </c>
      <c r="G20" s="3">
        <v>0</v>
      </c>
      <c r="H20" s="3">
        <v>0</v>
      </c>
      <c r="I20" s="244"/>
      <c r="J20" s="85"/>
      <c r="K20" s="16" t="s">
        <v>419</v>
      </c>
      <c r="L20" s="86"/>
    </row>
    <row r="21" spans="2:12" s="20" customFormat="1" ht="14.25" hidden="1" outlineLevel="1">
      <c r="B21" s="4" t="s">
        <v>233</v>
      </c>
      <c r="C21" s="5"/>
      <c r="D21" s="6">
        <v>0</v>
      </c>
      <c r="E21" s="6">
        <v>0</v>
      </c>
      <c r="F21" s="6">
        <v>0</v>
      </c>
      <c r="G21" s="6">
        <v>0</v>
      </c>
      <c r="H21" s="6">
        <v>0</v>
      </c>
      <c r="I21" s="245"/>
      <c r="J21" s="83"/>
      <c r="K21" s="17" t="s">
        <v>419</v>
      </c>
      <c r="L21" s="87"/>
    </row>
    <row r="22" spans="2:12" s="20" customFormat="1" ht="14.25" hidden="1" outlineLevel="1">
      <c r="B22" s="1" t="s">
        <v>233</v>
      </c>
      <c r="C22" s="2"/>
      <c r="D22" s="3">
        <v>0</v>
      </c>
      <c r="E22" s="3">
        <v>0</v>
      </c>
      <c r="F22" s="3">
        <v>0</v>
      </c>
      <c r="G22" s="3">
        <v>0</v>
      </c>
      <c r="H22" s="3">
        <v>0</v>
      </c>
      <c r="I22" s="244"/>
      <c r="J22" s="85"/>
      <c r="K22" s="16" t="s">
        <v>419</v>
      </c>
      <c r="L22" s="86"/>
    </row>
    <row r="23" spans="2:12" s="20" customFormat="1" ht="14.25" hidden="1" outlineLevel="1">
      <c r="B23" s="4" t="s">
        <v>233</v>
      </c>
      <c r="C23" s="7"/>
      <c r="D23" s="6">
        <v>0</v>
      </c>
      <c r="E23" s="6">
        <v>0</v>
      </c>
      <c r="F23" s="6">
        <v>0</v>
      </c>
      <c r="G23" s="6">
        <v>0</v>
      </c>
      <c r="H23" s="6">
        <v>0</v>
      </c>
      <c r="I23" s="245"/>
      <c r="J23" s="83"/>
      <c r="K23" s="17" t="s">
        <v>419</v>
      </c>
      <c r="L23" s="87"/>
    </row>
    <row r="24" spans="2:12" s="20" customFormat="1" ht="14.25" hidden="1" outlineLevel="1">
      <c r="B24" s="1" t="s">
        <v>233</v>
      </c>
      <c r="C24" s="2"/>
      <c r="D24" s="3">
        <v>0</v>
      </c>
      <c r="E24" s="3">
        <v>0</v>
      </c>
      <c r="F24" s="3">
        <v>0</v>
      </c>
      <c r="G24" s="3">
        <v>0</v>
      </c>
      <c r="H24" s="3">
        <v>0</v>
      </c>
      <c r="I24" s="244"/>
      <c r="J24" s="85"/>
      <c r="K24" s="16" t="s">
        <v>419</v>
      </c>
      <c r="L24" s="86"/>
    </row>
    <row r="25" spans="2:12" s="20" customFormat="1" ht="14.25" hidden="1" outlineLevel="1">
      <c r="B25" s="4" t="s">
        <v>233</v>
      </c>
      <c r="C25" s="5"/>
      <c r="D25" s="6">
        <v>0</v>
      </c>
      <c r="E25" s="6">
        <v>0</v>
      </c>
      <c r="F25" s="6">
        <v>0</v>
      </c>
      <c r="G25" s="6">
        <v>0</v>
      </c>
      <c r="H25" s="6">
        <v>0</v>
      </c>
      <c r="I25" s="245"/>
      <c r="J25" s="83"/>
      <c r="K25" s="17" t="s">
        <v>419</v>
      </c>
      <c r="L25" s="87"/>
    </row>
    <row r="26" spans="2:12" s="20" customFormat="1" ht="14.25" hidden="1" outlineLevel="1">
      <c r="B26" s="1" t="s">
        <v>233</v>
      </c>
      <c r="C26" s="2"/>
      <c r="D26" s="3">
        <v>0</v>
      </c>
      <c r="E26" s="3">
        <v>0</v>
      </c>
      <c r="F26" s="3">
        <v>0</v>
      </c>
      <c r="G26" s="3">
        <v>0</v>
      </c>
      <c r="H26" s="3">
        <v>0</v>
      </c>
      <c r="I26" s="244"/>
      <c r="J26" s="85"/>
      <c r="K26" s="16" t="s">
        <v>419</v>
      </c>
      <c r="L26" s="86"/>
    </row>
    <row r="27" spans="2:12" s="20" customFormat="1" ht="14.25" hidden="1" outlineLevel="1">
      <c r="B27" s="4" t="s">
        <v>233</v>
      </c>
      <c r="C27" s="7"/>
      <c r="D27" s="6">
        <v>0</v>
      </c>
      <c r="E27" s="6">
        <v>0</v>
      </c>
      <c r="F27" s="6">
        <v>0</v>
      </c>
      <c r="G27" s="6">
        <v>0</v>
      </c>
      <c r="H27" s="6">
        <v>0</v>
      </c>
      <c r="I27" s="245"/>
      <c r="J27" s="83"/>
      <c r="K27" s="17" t="s">
        <v>419</v>
      </c>
      <c r="L27" s="87"/>
    </row>
    <row r="28" spans="2:12" s="20" customFormat="1" ht="14.25" hidden="1" outlineLevel="1">
      <c r="B28" s="1" t="s">
        <v>233</v>
      </c>
      <c r="C28" s="2"/>
      <c r="D28" s="3">
        <v>0</v>
      </c>
      <c r="E28" s="3">
        <v>0</v>
      </c>
      <c r="F28" s="3">
        <v>0</v>
      </c>
      <c r="G28" s="3">
        <v>0</v>
      </c>
      <c r="H28" s="3">
        <v>0</v>
      </c>
      <c r="I28" s="244"/>
      <c r="J28" s="85"/>
      <c r="K28" s="16" t="s">
        <v>419</v>
      </c>
      <c r="L28" s="86"/>
    </row>
    <row r="29" spans="2:12" s="20" customFormat="1" ht="14.25" hidden="1" outlineLevel="1">
      <c r="B29" s="4" t="s">
        <v>233</v>
      </c>
      <c r="C29" s="5"/>
      <c r="D29" s="6">
        <v>0</v>
      </c>
      <c r="E29" s="6">
        <v>0</v>
      </c>
      <c r="F29" s="6">
        <v>0</v>
      </c>
      <c r="G29" s="6">
        <v>0</v>
      </c>
      <c r="H29" s="6">
        <v>0</v>
      </c>
      <c r="I29" s="245"/>
      <c r="J29" s="83"/>
      <c r="K29" s="17" t="s">
        <v>419</v>
      </c>
      <c r="L29" s="87"/>
    </row>
    <row r="30" spans="2:12" s="20" customFormat="1" ht="14.25" hidden="1" outlineLevel="1">
      <c r="B30" s="1" t="s">
        <v>233</v>
      </c>
      <c r="C30" s="2"/>
      <c r="D30" s="3">
        <v>0</v>
      </c>
      <c r="E30" s="3">
        <v>0</v>
      </c>
      <c r="F30" s="3">
        <v>0</v>
      </c>
      <c r="G30" s="3">
        <v>0</v>
      </c>
      <c r="H30" s="3">
        <v>0</v>
      </c>
      <c r="I30" s="244"/>
      <c r="J30" s="85"/>
      <c r="K30" s="16" t="s">
        <v>419</v>
      </c>
      <c r="L30" s="86"/>
    </row>
    <row r="31" spans="2:12" s="20" customFormat="1" ht="14.25" hidden="1" outlineLevel="1">
      <c r="B31" s="4" t="s">
        <v>233</v>
      </c>
      <c r="C31" s="7"/>
      <c r="D31" s="6">
        <v>0</v>
      </c>
      <c r="E31" s="6">
        <v>0</v>
      </c>
      <c r="F31" s="6">
        <v>0</v>
      </c>
      <c r="G31" s="6">
        <v>0</v>
      </c>
      <c r="H31" s="6">
        <v>0</v>
      </c>
      <c r="I31" s="245"/>
      <c r="J31" s="83"/>
      <c r="K31" s="17" t="s">
        <v>419</v>
      </c>
      <c r="L31" s="87"/>
    </row>
    <row r="32" spans="2:12" s="20" customFormat="1" ht="14.25" hidden="1" outlineLevel="1">
      <c r="B32" s="1" t="s">
        <v>233</v>
      </c>
      <c r="C32" s="2"/>
      <c r="D32" s="3">
        <v>0</v>
      </c>
      <c r="E32" s="3">
        <v>0</v>
      </c>
      <c r="F32" s="3">
        <v>0</v>
      </c>
      <c r="G32" s="3">
        <v>0</v>
      </c>
      <c r="H32" s="3">
        <v>0</v>
      </c>
      <c r="I32" s="244"/>
      <c r="J32" s="85"/>
      <c r="K32" s="16" t="s">
        <v>419</v>
      </c>
      <c r="L32" s="86"/>
    </row>
    <row r="33" spans="2:12" s="20" customFormat="1" ht="14.25" hidden="1" outlineLevel="1">
      <c r="B33" s="4" t="s">
        <v>233</v>
      </c>
      <c r="C33" s="5"/>
      <c r="D33" s="6">
        <v>0</v>
      </c>
      <c r="E33" s="6">
        <v>0</v>
      </c>
      <c r="F33" s="6">
        <v>0</v>
      </c>
      <c r="G33" s="6">
        <v>0</v>
      </c>
      <c r="H33" s="6">
        <v>0</v>
      </c>
      <c r="I33" s="245"/>
      <c r="J33" s="83"/>
      <c r="K33" s="17" t="s">
        <v>419</v>
      </c>
      <c r="L33" s="87"/>
    </row>
    <row r="34" spans="2:12" s="20" customFormat="1" ht="14.25" hidden="1" outlineLevel="1">
      <c r="B34" s="1" t="s">
        <v>233</v>
      </c>
      <c r="C34" s="2"/>
      <c r="D34" s="3">
        <v>0</v>
      </c>
      <c r="E34" s="3">
        <v>0</v>
      </c>
      <c r="F34" s="3">
        <v>0</v>
      </c>
      <c r="G34" s="3">
        <v>0</v>
      </c>
      <c r="H34" s="3">
        <v>0</v>
      </c>
      <c r="I34" s="244"/>
      <c r="J34" s="85"/>
      <c r="K34" s="16" t="s">
        <v>419</v>
      </c>
      <c r="L34" s="86"/>
    </row>
    <row r="35" spans="2:12" s="20" customFormat="1" ht="14.25" hidden="1" outlineLevel="1">
      <c r="B35" s="4" t="s">
        <v>233</v>
      </c>
      <c r="C35" s="7"/>
      <c r="D35" s="6">
        <v>0</v>
      </c>
      <c r="E35" s="6">
        <v>0</v>
      </c>
      <c r="F35" s="6">
        <v>0</v>
      </c>
      <c r="G35" s="6">
        <v>0</v>
      </c>
      <c r="H35" s="6">
        <v>0</v>
      </c>
      <c r="I35" s="245"/>
      <c r="J35" s="83"/>
      <c r="K35" s="17" t="s">
        <v>419</v>
      </c>
      <c r="L35" s="87"/>
    </row>
    <row r="36" spans="2:12" s="20" customFormat="1" ht="14.25" hidden="1" outlineLevel="1">
      <c r="B36" s="1" t="s">
        <v>233</v>
      </c>
      <c r="C36" s="2"/>
      <c r="D36" s="3">
        <v>0</v>
      </c>
      <c r="E36" s="3">
        <v>0</v>
      </c>
      <c r="F36" s="3">
        <v>0</v>
      </c>
      <c r="G36" s="3">
        <v>0</v>
      </c>
      <c r="H36" s="3">
        <v>0</v>
      </c>
      <c r="I36" s="244"/>
      <c r="J36" s="85"/>
      <c r="K36" s="16" t="s">
        <v>419</v>
      </c>
      <c r="L36" s="86"/>
    </row>
    <row r="37" spans="2:12" s="20" customFormat="1" ht="14.25" hidden="1" outlineLevel="1">
      <c r="B37" s="4" t="s">
        <v>233</v>
      </c>
      <c r="C37" s="7"/>
      <c r="D37" s="6">
        <v>0</v>
      </c>
      <c r="E37" s="6">
        <v>0</v>
      </c>
      <c r="F37" s="6">
        <v>0</v>
      </c>
      <c r="G37" s="6">
        <v>0</v>
      </c>
      <c r="H37" s="6">
        <v>0</v>
      </c>
      <c r="I37" s="245"/>
      <c r="J37" s="83"/>
      <c r="K37" s="17" t="s">
        <v>419</v>
      </c>
      <c r="L37" s="87"/>
    </row>
    <row r="38" spans="2:12" s="20" customFormat="1" ht="14.25" hidden="1" outlineLevel="1">
      <c r="B38" s="1" t="s">
        <v>233</v>
      </c>
      <c r="C38" s="2"/>
      <c r="D38" s="3">
        <v>0</v>
      </c>
      <c r="E38" s="3">
        <v>0</v>
      </c>
      <c r="F38" s="3">
        <v>0</v>
      </c>
      <c r="G38" s="3">
        <v>0</v>
      </c>
      <c r="H38" s="3">
        <v>0</v>
      </c>
      <c r="I38" s="244"/>
      <c r="J38" s="85"/>
      <c r="K38" s="16" t="s">
        <v>419</v>
      </c>
      <c r="L38" s="86"/>
    </row>
    <row r="39" spans="2:12" s="20" customFormat="1" ht="14.25" hidden="1" outlineLevel="1">
      <c r="B39" s="4" t="s">
        <v>233</v>
      </c>
      <c r="C39" s="5"/>
      <c r="D39" s="6">
        <v>0</v>
      </c>
      <c r="E39" s="6">
        <v>0</v>
      </c>
      <c r="F39" s="6">
        <v>0</v>
      </c>
      <c r="G39" s="6">
        <v>0</v>
      </c>
      <c r="H39" s="6">
        <v>0</v>
      </c>
      <c r="I39" s="245"/>
      <c r="J39" s="83"/>
      <c r="K39" s="17" t="s">
        <v>419</v>
      </c>
      <c r="L39" s="87"/>
    </row>
    <row r="40" spans="2:12" s="20" customFormat="1" ht="14.25" hidden="1" outlineLevel="1">
      <c r="B40" s="1" t="s">
        <v>233</v>
      </c>
      <c r="C40" s="2"/>
      <c r="D40" s="3">
        <v>0</v>
      </c>
      <c r="E40" s="3">
        <v>0</v>
      </c>
      <c r="F40" s="3">
        <v>0</v>
      </c>
      <c r="G40" s="3">
        <v>0</v>
      </c>
      <c r="H40" s="3">
        <v>0</v>
      </c>
      <c r="I40" s="244"/>
      <c r="J40" s="85"/>
      <c r="K40" s="16" t="s">
        <v>419</v>
      </c>
      <c r="L40" s="86"/>
    </row>
    <row r="41" spans="2:12" s="20" customFormat="1" ht="14.25" hidden="1" outlineLevel="1">
      <c r="B41" s="4" t="s">
        <v>233</v>
      </c>
      <c r="C41" s="7"/>
      <c r="D41" s="6">
        <v>0</v>
      </c>
      <c r="E41" s="6">
        <v>0</v>
      </c>
      <c r="F41" s="6">
        <v>0</v>
      </c>
      <c r="G41" s="6">
        <v>0</v>
      </c>
      <c r="H41" s="6">
        <v>0</v>
      </c>
      <c r="I41" s="245"/>
      <c r="J41" s="83"/>
      <c r="K41" s="17" t="s">
        <v>419</v>
      </c>
      <c r="L41" s="87"/>
    </row>
    <row r="42" spans="2:12" s="20" customFormat="1" ht="14.25" hidden="1" outlineLevel="1">
      <c r="B42" s="1" t="s">
        <v>233</v>
      </c>
      <c r="C42" s="2"/>
      <c r="D42" s="3">
        <v>0</v>
      </c>
      <c r="E42" s="3">
        <v>0</v>
      </c>
      <c r="F42" s="3">
        <v>0</v>
      </c>
      <c r="G42" s="3">
        <v>0</v>
      </c>
      <c r="H42" s="3">
        <v>0</v>
      </c>
      <c r="I42" s="244"/>
      <c r="J42" s="85"/>
      <c r="K42" s="16" t="s">
        <v>419</v>
      </c>
      <c r="L42" s="86"/>
    </row>
    <row r="43" spans="2:12" s="20" customFormat="1" ht="14.25" hidden="1" outlineLevel="1">
      <c r="B43" s="4" t="s">
        <v>233</v>
      </c>
      <c r="C43" s="5"/>
      <c r="D43" s="6">
        <v>0</v>
      </c>
      <c r="E43" s="6">
        <v>0</v>
      </c>
      <c r="F43" s="6">
        <v>0</v>
      </c>
      <c r="G43" s="6">
        <v>0</v>
      </c>
      <c r="H43" s="6">
        <v>0</v>
      </c>
      <c r="I43" s="245"/>
      <c r="J43" s="83"/>
      <c r="K43" s="17" t="s">
        <v>419</v>
      </c>
      <c r="L43" s="87"/>
    </row>
    <row r="44" spans="2:12" s="20" customFormat="1" ht="14.25" hidden="1" outlineLevel="1">
      <c r="B44" s="1" t="s">
        <v>233</v>
      </c>
      <c r="C44" s="2"/>
      <c r="D44" s="3">
        <v>0</v>
      </c>
      <c r="E44" s="3">
        <v>0</v>
      </c>
      <c r="F44" s="3">
        <v>0</v>
      </c>
      <c r="G44" s="3">
        <v>0</v>
      </c>
      <c r="H44" s="3">
        <v>0</v>
      </c>
      <c r="I44" s="244"/>
      <c r="J44" s="85"/>
      <c r="K44" s="16" t="s">
        <v>419</v>
      </c>
      <c r="L44" s="86"/>
    </row>
    <row r="45" spans="2:12" s="20" customFormat="1" ht="14.25" hidden="1" outlineLevel="1">
      <c r="B45" s="4" t="s">
        <v>233</v>
      </c>
      <c r="C45" s="7"/>
      <c r="D45" s="6">
        <v>0</v>
      </c>
      <c r="E45" s="6">
        <v>0</v>
      </c>
      <c r="F45" s="6">
        <v>0</v>
      </c>
      <c r="G45" s="6">
        <v>0</v>
      </c>
      <c r="H45" s="6">
        <v>0</v>
      </c>
      <c r="I45" s="245"/>
      <c r="J45" s="83"/>
      <c r="K45" s="17" t="s">
        <v>419</v>
      </c>
      <c r="L45" s="87"/>
    </row>
    <row r="46" spans="2:12" s="20" customFormat="1" ht="14.25" hidden="1" outlineLevel="1">
      <c r="B46" s="1" t="s">
        <v>233</v>
      </c>
      <c r="C46" s="2"/>
      <c r="D46" s="3">
        <v>0</v>
      </c>
      <c r="E46" s="3">
        <v>0</v>
      </c>
      <c r="F46" s="3">
        <v>0</v>
      </c>
      <c r="G46" s="3">
        <v>0</v>
      </c>
      <c r="H46" s="3">
        <v>0</v>
      </c>
      <c r="I46" s="244"/>
      <c r="J46" s="85"/>
      <c r="K46" s="16" t="s">
        <v>419</v>
      </c>
      <c r="L46" s="86"/>
    </row>
    <row r="47" spans="2:12" s="20" customFormat="1" ht="14.25" collapsed="1">
      <c r="B47" s="4" t="s">
        <v>209</v>
      </c>
      <c r="C47" s="5"/>
      <c r="D47" s="6"/>
      <c r="E47" s="6"/>
      <c r="F47" s="6"/>
      <c r="G47" s="6"/>
      <c r="H47" s="6"/>
      <c r="I47" s="245"/>
      <c r="J47" s="83"/>
      <c r="K47" s="204"/>
      <c r="L47" s="87"/>
    </row>
    <row r="48" spans="2:12" s="20" customFormat="1" ht="3.75" customHeight="1">
      <c r="B48" s="4"/>
      <c r="C48" s="5"/>
      <c r="D48" s="8"/>
      <c r="E48" s="8"/>
      <c r="F48" s="8"/>
      <c r="G48" s="8"/>
      <c r="H48" s="8"/>
      <c r="I48" s="82"/>
      <c r="J48" s="83"/>
      <c r="K48" s="203"/>
      <c r="L48" s="87"/>
    </row>
    <row r="49" spans="2:12" s="20" customFormat="1" ht="14.25">
      <c r="B49" s="122" t="s">
        <v>202</v>
      </c>
      <c r="C49" s="123"/>
      <c r="D49" s="124">
        <f>SUM(D8:D48)</f>
        <v>0</v>
      </c>
      <c r="E49" s="124">
        <f>SUM(E8:E48)</f>
        <v>0</v>
      </c>
      <c r="F49" s="124">
        <f>SUM(F8:F48)</f>
        <v>0</v>
      </c>
      <c r="G49" s="124">
        <f>SUM(G8:G48)</f>
        <v>0</v>
      </c>
      <c r="H49" s="124">
        <f>SUM(H8:H48)</f>
        <v>0</v>
      </c>
      <c r="I49" s="82"/>
      <c r="J49" s="120"/>
      <c r="K49" s="121"/>
      <c r="L49" s="125"/>
    </row>
    <row r="50" spans="2:12" s="20" customFormat="1" ht="7.5" customHeight="1">
      <c r="B50" s="82"/>
      <c r="C50" s="82"/>
      <c r="D50" s="90"/>
      <c r="E50" s="90"/>
      <c r="F50" s="90"/>
      <c r="G50" s="90"/>
      <c r="H50" s="90"/>
      <c r="I50" s="82"/>
      <c r="J50" s="83"/>
      <c r="K50" s="88"/>
      <c r="L50" s="89"/>
    </row>
    <row r="51" spans="2:12" s="20" customFormat="1" ht="29.25">
      <c r="B51" s="91" t="s">
        <v>211</v>
      </c>
      <c r="C51" s="82"/>
      <c r="D51" s="90"/>
      <c r="E51" s="92"/>
      <c r="F51" s="92"/>
      <c r="G51" s="92"/>
      <c r="H51" s="92"/>
      <c r="I51" s="82"/>
      <c r="J51" s="83"/>
      <c r="K51" s="88"/>
      <c r="L51" s="89" t="s">
        <v>391</v>
      </c>
    </row>
    <row r="52" spans="2:12" s="20" customFormat="1" ht="14.25">
      <c r="B52" s="9" t="s">
        <v>233</v>
      </c>
      <c r="C52" s="10"/>
      <c r="D52" s="11">
        <v>0</v>
      </c>
      <c r="E52" s="11">
        <v>0</v>
      </c>
      <c r="F52" s="11">
        <v>0</v>
      </c>
      <c r="G52" s="11">
        <v>0</v>
      </c>
      <c r="H52" s="11">
        <v>0</v>
      </c>
      <c r="I52" s="93"/>
      <c r="J52" s="94"/>
      <c r="K52" s="95" t="s">
        <v>419</v>
      </c>
      <c r="L52" s="96"/>
    </row>
    <row r="53" spans="2:12" s="20" customFormat="1" ht="14.25">
      <c r="B53" s="12" t="s">
        <v>233</v>
      </c>
      <c r="C53" s="13"/>
      <c r="D53" s="14">
        <v>0</v>
      </c>
      <c r="E53" s="14">
        <v>0</v>
      </c>
      <c r="F53" s="14">
        <v>0</v>
      </c>
      <c r="G53" s="14">
        <v>0</v>
      </c>
      <c r="H53" s="14">
        <v>0</v>
      </c>
      <c r="I53" s="97"/>
      <c r="J53" s="83"/>
      <c r="K53" s="98" t="s">
        <v>419</v>
      </c>
      <c r="L53" s="99"/>
    </row>
    <row r="54" spans="2:12" s="20" customFormat="1" ht="14.25">
      <c r="B54" s="9" t="s">
        <v>233</v>
      </c>
      <c r="C54" s="10"/>
      <c r="D54" s="11">
        <v>0</v>
      </c>
      <c r="E54" s="11">
        <v>0</v>
      </c>
      <c r="F54" s="11">
        <v>0</v>
      </c>
      <c r="G54" s="11">
        <v>0</v>
      </c>
      <c r="H54" s="11">
        <v>0</v>
      </c>
      <c r="I54" s="93"/>
      <c r="J54" s="94"/>
      <c r="K54" s="95" t="s">
        <v>419</v>
      </c>
      <c r="L54" s="96"/>
    </row>
    <row r="55" spans="2:12" s="20" customFormat="1" ht="14.25">
      <c r="B55" s="12" t="s">
        <v>233</v>
      </c>
      <c r="C55" s="13"/>
      <c r="D55" s="14">
        <v>0</v>
      </c>
      <c r="E55" s="14">
        <v>0</v>
      </c>
      <c r="F55" s="14">
        <v>0</v>
      </c>
      <c r="G55" s="14">
        <v>0</v>
      </c>
      <c r="H55" s="14">
        <v>0</v>
      </c>
      <c r="I55" s="97"/>
      <c r="J55" s="83"/>
      <c r="K55" s="98" t="s">
        <v>419</v>
      </c>
      <c r="L55" s="99"/>
    </row>
    <row r="56" spans="2:12" s="20" customFormat="1" ht="14.25">
      <c r="B56" s="9" t="s">
        <v>233</v>
      </c>
      <c r="C56" s="10"/>
      <c r="D56" s="11">
        <v>0</v>
      </c>
      <c r="E56" s="11">
        <v>0</v>
      </c>
      <c r="F56" s="11">
        <v>0</v>
      </c>
      <c r="G56" s="11">
        <v>0</v>
      </c>
      <c r="H56" s="11">
        <v>0</v>
      </c>
      <c r="I56" s="93"/>
      <c r="J56" s="94"/>
      <c r="K56" s="95" t="s">
        <v>419</v>
      </c>
      <c r="L56" s="96"/>
    </row>
    <row r="57" spans="2:12" s="20" customFormat="1" ht="14.25">
      <c r="B57" s="12" t="s">
        <v>233</v>
      </c>
      <c r="C57" s="13"/>
      <c r="D57" s="14">
        <v>0</v>
      </c>
      <c r="E57" s="14">
        <v>0</v>
      </c>
      <c r="F57" s="14">
        <v>0</v>
      </c>
      <c r="G57" s="14">
        <v>0</v>
      </c>
      <c r="H57" s="14">
        <v>0</v>
      </c>
      <c r="I57" s="97"/>
      <c r="J57" s="83"/>
      <c r="K57" s="98" t="s">
        <v>419</v>
      </c>
      <c r="L57" s="99"/>
    </row>
    <row r="58" spans="2:12" s="20" customFormat="1" ht="14.25">
      <c r="B58" s="9" t="s">
        <v>233</v>
      </c>
      <c r="C58" s="10"/>
      <c r="D58" s="11">
        <v>0</v>
      </c>
      <c r="E58" s="11">
        <v>0</v>
      </c>
      <c r="F58" s="11">
        <v>0</v>
      </c>
      <c r="G58" s="11">
        <v>0</v>
      </c>
      <c r="H58" s="11">
        <v>0</v>
      </c>
      <c r="I58" s="93"/>
      <c r="J58" s="94"/>
      <c r="K58" s="95" t="s">
        <v>419</v>
      </c>
      <c r="L58" s="96"/>
    </row>
    <row r="59" spans="2:12" s="20" customFormat="1" ht="14.25">
      <c r="B59" s="12" t="s">
        <v>233</v>
      </c>
      <c r="C59" s="13"/>
      <c r="D59" s="14">
        <v>0</v>
      </c>
      <c r="E59" s="14">
        <v>0</v>
      </c>
      <c r="F59" s="14">
        <v>0</v>
      </c>
      <c r="G59" s="14">
        <v>0</v>
      </c>
      <c r="H59" s="14">
        <v>0</v>
      </c>
      <c r="I59" s="97"/>
      <c r="J59" s="83"/>
      <c r="K59" s="98" t="s">
        <v>419</v>
      </c>
      <c r="L59" s="99"/>
    </row>
    <row r="60" spans="2:12" s="20" customFormat="1" ht="14.25">
      <c r="B60" s="9" t="s">
        <v>233</v>
      </c>
      <c r="C60" s="10"/>
      <c r="D60" s="11">
        <v>0</v>
      </c>
      <c r="E60" s="11">
        <v>0</v>
      </c>
      <c r="F60" s="11">
        <v>0</v>
      </c>
      <c r="G60" s="11">
        <v>0</v>
      </c>
      <c r="H60" s="11">
        <v>0</v>
      </c>
      <c r="I60" s="93"/>
      <c r="J60" s="94"/>
      <c r="K60" s="95" t="s">
        <v>419</v>
      </c>
      <c r="L60" s="96"/>
    </row>
    <row r="61" spans="2:12" s="20" customFormat="1" ht="14.25" hidden="1" outlineLevel="1">
      <c r="B61" s="12" t="s">
        <v>233</v>
      </c>
      <c r="C61" s="13"/>
      <c r="D61" s="14">
        <v>0</v>
      </c>
      <c r="E61" s="14">
        <v>0</v>
      </c>
      <c r="F61" s="14">
        <v>0</v>
      </c>
      <c r="G61" s="14">
        <v>0</v>
      </c>
      <c r="H61" s="14">
        <v>0</v>
      </c>
      <c r="I61" s="97"/>
      <c r="J61" s="83"/>
      <c r="K61" s="98" t="s">
        <v>65</v>
      </c>
      <c r="L61" s="99"/>
    </row>
    <row r="62" spans="2:12" s="20" customFormat="1" ht="14.25" hidden="1" outlineLevel="1">
      <c r="B62" s="9" t="s">
        <v>233</v>
      </c>
      <c r="C62" s="10"/>
      <c r="D62" s="11">
        <v>0</v>
      </c>
      <c r="E62" s="11">
        <v>0</v>
      </c>
      <c r="F62" s="11">
        <v>0</v>
      </c>
      <c r="G62" s="11">
        <v>0</v>
      </c>
      <c r="H62" s="11">
        <v>0</v>
      </c>
      <c r="I62" s="93"/>
      <c r="J62" s="94"/>
      <c r="K62" s="95" t="s">
        <v>65</v>
      </c>
      <c r="L62" s="96"/>
    </row>
    <row r="63" spans="2:12" s="20" customFormat="1" ht="14.25" hidden="1" outlineLevel="1">
      <c r="B63" s="12" t="s">
        <v>233</v>
      </c>
      <c r="C63" s="13"/>
      <c r="D63" s="14">
        <v>0</v>
      </c>
      <c r="E63" s="14">
        <v>0</v>
      </c>
      <c r="F63" s="14">
        <v>0</v>
      </c>
      <c r="G63" s="14">
        <v>0</v>
      </c>
      <c r="H63" s="14">
        <v>0</v>
      </c>
      <c r="I63" s="97"/>
      <c r="J63" s="83"/>
      <c r="K63" s="98" t="s">
        <v>65</v>
      </c>
      <c r="L63" s="99"/>
    </row>
    <row r="64" spans="2:12" s="20" customFormat="1" ht="14.25" hidden="1" outlineLevel="1">
      <c r="B64" s="9" t="s">
        <v>233</v>
      </c>
      <c r="C64" s="10"/>
      <c r="D64" s="11">
        <v>0</v>
      </c>
      <c r="E64" s="11">
        <v>0</v>
      </c>
      <c r="F64" s="11">
        <v>0</v>
      </c>
      <c r="G64" s="11">
        <v>0</v>
      </c>
      <c r="H64" s="11">
        <v>0</v>
      </c>
      <c r="I64" s="93"/>
      <c r="J64" s="94"/>
      <c r="K64" s="95" t="s">
        <v>65</v>
      </c>
      <c r="L64" s="96"/>
    </row>
    <row r="65" spans="2:12" s="20" customFormat="1" ht="14.25" hidden="1" outlineLevel="1">
      <c r="B65" s="12" t="s">
        <v>233</v>
      </c>
      <c r="C65" s="13"/>
      <c r="D65" s="14">
        <v>0</v>
      </c>
      <c r="E65" s="14">
        <v>0</v>
      </c>
      <c r="F65" s="14">
        <v>0</v>
      </c>
      <c r="G65" s="14">
        <v>0</v>
      </c>
      <c r="H65" s="14">
        <v>0</v>
      </c>
      <c r="I65" s="97"/>
      <c r="J65" s="83"/>
      <c r="K65" s="98" t="s">
        <v>65</v>
      </c>
      <c r="L65" s="99"/>
    </row>
    <row r="66" spans="2:12" s="20" customFormat="1" ht="14.25" hidden="1" outlineLevel="1">
      <c r="B66" s="9" t="s">
        <v>233</v>
      </c>
      <c r="C66" s="10"/>
      <c r="D66" s="11">
        <v>0</v>
      </c>
      <c r="E66" s="11">
        <v>0</v>
      </c>
      <c r="F66" s="11">
        <v>0</v>
      </c>
      <c r="G66" s="11">
        <v>0</v>
      </c>
      <c r="H66" s="11">
        <v>0</v>
      </c>
      <c r="I66" s="93"/>
      <c r="J66" s="94"/>
      <c r="K66" s="95" t="s">
        <v>65</v>
      </c>
      <c r="L66" s="96"/>
    </row>
    <row r="67" spans="2:12" s="20" customFormat="1" ht="14.25" hidden="1" outlineLevel="1">
      <c r="B67" s="12" t="s">
        <v>233</v>
      </c>
      <c r="C67" s="13"/>
      <c r="D67" s="14">
        <v>0</v>
      </c>
      <c r="E67" s="14">
        <v>0</v>
      </c>
      <c r="F67" s="14">
        <v>0</v>
      </c>
      <c r="G67" s="14">
        <v>0</v>
      </c>
      <c r="H67" s="14">
        <v>0</v>
      </c>
      <c r="I67" s="97"/>
      <c r="J67" s="83"/>
      <c r="K67" s="98" t="s">
        <v>65</v>
      </c>
      <c r="L67" s="99"/>
    </row>
    <row r="68" spans="2:12" s="20" customFormat="1" ht="14.25" hidden="1" outlineLevel="1">
      <c r="B68" s="9" t="s">
        <v>233</v>
      </c>
      <c r="C68" s="10"/>
      <c r="D68" s="11">
        <v>0</v>
      </c>
      <c r="E68" s="11">
        <v>0</v>
      </c>
      <c r="F68" s="11">
        <v>0</v>
      </c>
      <c r="G68" s="11">
        <v>0</v>
      </c>
      <c r="H68" s="11">
        <v>0</v>
      </c>
      <c r="I68" s="93"/>
      <c r="J68" s="94"/>
      <c r="K68" s="95" t="s">
        <v>65</v>
      </c>
      <c r="L68" s="96"/>
    </row>
    <row r="69" spans="2:12" s="20" customFormat="1" ht="14.25" hidden="1" outlineLevel="1">
      <c r="B69" s="12" t="s">
        <v>233</v>
      </c>
      <c r="C69" s="13"/>
      <c r="D69" s="14">
        <v>0</v>
      </c>
      <c r="E69" s="14">
        <v>0</v>
      </c>
      <c r="F69" s="14">
        <v>0</v>
      </c>
      <c r="G69" s="14">
        <v>0</v>
      </c>
      <c r="H69" s="14">
        <v>0</v>
      </c>
      <c r="I69" s="97"/>
      <c r="J69" s="83"/>
      <c r="K69" s="98" t="s">
        <v>65</v>
      </c>
      <c r="L69" s="99"/>
    </row>
    <row r="70" spans="2:12" s="20" customFormat="1" ht="14.25" hidden="1" outlineLevel="1">
      <c r="B70" s="9" t="s">
        <v>233</v>
      </c>
      <c r="C70" s="10"/>
      <c r="D70" s="11">
        <v>0</v>
      </c>
      <c r="E70" s="11">
        <v>0</v>
      </c>
      <c r="F70" s="11">
        <v>0</v>
      </c>
      <c r="G70" s="11">
        <v>0</v>
      </c>
      <c r="H70" s="11">
        <v>0</v>
      </c>
      <c r="I70" s="93"/>
      <c r="J70" s="94"/>
      <c r="K70" s="95" t="s">
        <v>65</v>
      </c>
      <c r="L70" s="96"/>
    </row>
    <row r="71" spans="2:12" s="20" customFormat="1" ht="14.25" hidden="1" outlineLevel="1">
      <c r="B71" s="12" t="s">
        <v>233</v>
      </c>
      <c r="C71" s="13"/>
      <c r="D71" s="14">
        <v>0</v>
      </c>
      <c r="E71" s="14">
        <v>0</v>
      </c>
      <c r="F71" s="14">
        <v>0</v>
      </c>
      <c r="G71" s="14">
        <v>0</v>
      </c>
      <c r="H71" s="14">
        <v>0</v>
      </c>
      <c r="I71" s="97"/>
      <c r="J71" s="83"/>
      <c r="K71" s="98" t="s">
        <v>65</v>
      </c>
      <c r="L71" s="99"/>
    </row>
    <row r="72" spans="2:12" s="20" customFormat="1" ht="14.25" hidden="1" outlineLevel="1">
      <c r="B72" s="9" t="s">
        <v>233</v>
      </c>
      <c r="C72" s="10"/>
      <c r="D72" s="11">
        <v>0</v>
      </c>
      <c r="E72" s="11">
        <v>0</v>
      </c>
      <c r="F72" s="11">
        <v>0</v>
      </c>
      <c r="G72" s="11">
        <v>0</v>
      </c>
      <c r="H72" s="11">
        <v>0</v>
      </c>
      <c r="I72" s="93"/>
      <c r="J72" s="94"/>
      <c r="K72" s="95" t="s">
        <v>65</v>
      </c>
      <c r="L72" s="96"/>
    </row>
    <row r="73" spans="2:12" s="20" customFormat="1" ht="14.25" hidden="1" outlineLevel="1">
      <c r="B73" s="12" t="s">
        <v>233</v>
      </c>
      <c r="C73" s="13"/>
      <c r="D73" s="14">
        <v>0</v>
      </c>
      <c r="E73" s="14">
        <v>0</v>
      </c>
      <c r="F73" s="14">
        <v>0</v>
      </c>
      <c r="G73" s="14">
        <v>0</v>
      </c>
      <c r="H73" s="14">
        <v>0</v>
      </c>
      <c r="I73" s="97"/>
      <c r="J73" s="83"/>
      <c r="K73" s="98" t="s">
        <v>65</v>
      </c>
      <c r="L73" s="99"/>
    </row>
    <row r="74" spans="2:12" s="20" customFormat="1" ht="14.25" hidden="1" outlineLevel="1">
      <c r="B74" s="9" t="s">
        <v>233</v>
      </c>
      <c r="C74" s="10"/>
      <c r="D74" s="11">
        <v>0</v>
      </c>
      <c r="E74" s="11">
        <v>0</v>
      </c>
      <c r="F74" s="11">
        <v>0</v>
      </c>
      <c r="G74" s="11">
        <v>0</v>
      </c>
      <c r="H74" s="11">
        <v>0</v>
      </c>
      <c r="I74" s="93"/>
      <c r="J74" s="94"/>
      <c r="K74" s="95" t="s">
        <v>65</v>
      </c>
      <c r="L74" s="96"/>
    </row>
    <row r="75" spans="2:12" s="20" customFormat="1" ht="14.25" hidden="1" outlineLevel="1">
      <c r="B75" s="12" t="s">
        <v>233</v>
      </c>
      <c r="C75" s="13"/>
      <c r="D75" s="14">
        <v>0</v>
      </c>
      <c r="E75" s="14">
        <v>0</v>
      </c>
      <c r="F75" s="14">
        <v>0</v>
      </c>
      <c r="G75" s="14">
        <v>0</v>
      </c>
      <c r="H75" s="14">
        <v>0</v>
      </c>
      <c r="I75" s="97"/>
      <c r="J75" s="83"/>
      <c r="K75" s="98" t="s">
        <v>65</v>
      </c>
      <c r="L75" s="99"/>
    </row>
    <row r="76" spans="2:12" s="20" customFormat="1" ht="14.25" hidden="1" outlineLevel="1">
      <c r="B76" s="9" t="s">
        <v>233</v>
      </c>
      <c r="C76" s="10"/>
      <c r="D76" s="11">
        <v>0</v>
      </c>
      <c r="E76" s="11">
        <v>0</v>
      </c>
      <c r="F76" s="11">
        <v>0</v>
      </c>
      <c r="G76" s="11">
        <v>0</v>
      </c>
      <c r="H76" s="11">
        <v>0</v>
      </c>
      <c r="I76" s="93"/>
      <c r="J76" s="94"/>
      <c r="K76" s="95" t="s">
        <v>65</v>
      </c>
      <c r="L76" s="96"/>
    </row>
    <row r="77" spans="2:12" s="20" customFormat="1" ht="14.25" hidden="1" outlineLevel="1">
      <c r="B77" s="12" t="s">
        <v>233</v>
      </c>
      <c r="C77" s="13"/>
      <c r="D77" s="14">
        <v>0</v>
      </c>
      <c r="E77" s="14">
        <v>0</v>
      </c>
      <c r="F77" s="14">
        <v>0</v>
      </c>
      <c r="G77" s="14">
        <v>0</v>
      </c>
      <c r="H77" s="14">
        <v>0</v>
      </c>
      <c r="I77" s="97"/>
      <c r="J77" s="83"/>
      <c r="K77" s="98" t="s">
        <v>65</v>
      </c>
      <c r="L77" s="99"/>
    </row>
    <row r="78" spans="2:12" s="20" customFormat="1" ht="14.25" hidden="1" outlineLevel="1">
      <c r="B78" s="9" t="s">
        <v>233</v>
      </c>
      <c r="C78" s="10"/>
      <c r="D78" s="11">
        <v>0</v>
      </c>
      <c r="E78" s="11">
        <v>0</v>
      </c>
      <c r="F78" s="11">
        <v>0</v>
      </c>
      <c r="G78" s="11">
        <v>0</v>
      </c>
      <c r="H78" s="11">
        <v>0</v>
      </c>
      <c r="I78" s="93"/>
      <c r="J78" s="94"/>
      <c r="K78" s="95" t="s">
        <v>65</v>
      </c>
      <c r="L78" s="96"/>
    </row>
    <row r="79" spans="2:12" s="20" customFormat="1" ht="14.25" hidden="1" outlineLevel="1">
      <c r="B79" s="12" t="s">
        <v>233</v>
      </c>
      <c r="C79" s="13"/>
      <c r="D79" s="14">
        <v>0</v>
      </c>
      <c r="E79" s="14">
        <v>0</v>
      </c>
      <c r="F79" s="14">
        <v>0</v>
      </c>
      <c r="G79" s="14">
        <v>0</v>
      </c>
      <c r="H79" s="14">
        <v>0</v>
      </c>
      <c r="I79" s="97"/>
      <c r="J79" s="83"/>
      <c r="K79" s="98" t="s">
        <v>65</v>
      </c>
      <c r="L79" s="99"/>
    </row>
    <row r="80" spans="2:12" s="20" customFormat="1" ht="14.25" hidden="1" outlineLevel="1">
      <c r="B80" s="9" t="s">
        <v>233</v>
      </c>
      <c r="C80" s="10"/>
      <c r="D80" s="11">
        <v>0</v>
      </c>
      <c r="E80" s="11">
        <v>0</v>
      </c>
      <c r="F80" s="11">
        <v>0</v>
      </c>
      <c r="G80" s="11">
        <v>0</v>
      </c>
      <c r="H80" s="11">
        <v>0</v>
      </c>
      <c r="I80" s="93"/>
      <c r="J80" s="94"/>
      <c r="K80" s="95" t="s">
        <v>65</v>
      </c>
      <c r="L80" s="96"/>
    </row>
    <row r="81" spans="2:12" s="20" customFormat="1" ht="14.25" hidden="1" outlineLevel="1">
      <c r="B81" s="12" t="s">
        <v>233</v>
      </c>
      <c r="C81" s="13"/>
      <c r="D81" s="14">
        <v>0</v>
      </c>
      <c r="E81" s="14">
        <v>0</v>
      </c>
      <c r="F81" s="14">
        <v>0</v>
      </c>
      <c r="G81" s="14">
        <v>0</v>
      </c>
      <c r="H81" s="14">
        <v>0</v>
      </c>
      <c r="I81" s="97"/>
      <c r="J81" s="83"/>
      <c r="K81" s="98" t="s">
        <v>65</v>
      </c>
      <c r="L81" s="99"/>
    </row>
    <row r="82" spans="2:12" s="20" customFormat="1" ht="14.25" hidden="1" outlineLevel="1">
      <c r="B82" s="9" t="s">
        <v>233</v>
      </c>
      <c r="C82" s="10"/>
      <c r="D82" s="11">
        <v>0</v>
      </c>
      <c r="E82" s="11">
        <v>0</v>
      </c>
      <c r="F82" s="11">
        <v>0</v>
      </c>
      <c r="G82" s="11">
        <v>0</v>
      </c>
      <c r="H82" s="11">
        <v>0</v>
      </c>
      <c r="I82" s="93"/>
      <c r="J82" s="94"/>
      <c r="K82" s="95" t="s">
        <v>65</v>
      </c>
      <c r="L82" s="96"/>
    </row>
    <row r="83" spans="2:12" s="20" customFormat="1" ht="14.25" hidden="1" outlineLevel="1">
      <c r="B83" s="12" t="s">
        <v>233</v>
      </c>
      <c r="C83" s="13"/>
      <c r="D83" s="14">
        <v>0</v>
      </c>
      <c r="E83" s="14">
        <v>0</v>
      </c>
      <c r="F83" s="14">
        <v>0</v>
      </c>
      <c r="G83" s="14">
        <v>0</v>
      </c>
      <c r="H83" s="14">
        <v>0</v>
      </c>
      <c r="I83" s="97"/>
      <c r="J83" s="83"/>
      <c r="K83" s="98" t="s">
        <v>65</v>
      </c>
      <c r="L83" s="99"/>
    </row>
    <row r="84" spans="2:12" s="20" customFormat="1" ht="14.25" hidden="1" outlineLevel="1">
      <c r="B84" s="9" t="s">
        <v>233</v>
      </c>
      <c r="C84" s="10"/>
      <c r="D84" s="11">
        <v>0</v>
      </c>
      <c r="E84" s="11">
        <v>0</v>
      </c>
      <c r="F84" s="11">
        <v>0</v>
      </c>
      <c r="G84" s="11">
        <v>0</v>
      </c>
      <c r="H84" s="11">
        <v>0</v>
      </c>
      <c r="I84" s="93"/>
      <c r="J84" s="94"/>
      <c r="K84" s="95" t="s">
        <v>65</v>
      </c>
      <c r="L84" s="96"/>
    </row>
    <row r="85" spans="2:12" s="20" customFormat="1" ht="14.25" hidden="1" outlineLevel="1">
      <c r="B85" s="12" t="s">
        <v>233</v>
      </c>
      <c r="C85" s="13"/>
      <c r="D85" s="14">
        <v>0</v>
      </c>
      <c r="E85" s="14">
        <v>0</v>
      </c>
      <c r="F85" s="14">
        <v>0</v>
      </c>
      <c r="G85" s="14">
        <v>0</v>
      </c>
      <c r="H85" s="14">
        <v>0</v>
      </c>
      <c r="I85" s="97"/>
      <c r="J85" s="83"/>
      <c r="K85" s="98" t="s">
        <v>65</v>
      </c>
      <c r="L85" s="99"/>
    </row>
    <row r="86" spans="2:12" s="20" customFormat="1" ht="14.25" hidden="1" outlineLevel="1">
      <c r="B86" s="9" t="s">
        <v>233</v>
      </c>
      <c r="C86" s="10"/>
      <c r="D86" s="11">
        <v>0</v>
      </c>
      <c r="E86" s="11">
        <v>0</v>
      </c>
      <c r="F86" s="11">
        <v>0</v>
      </c>
      <c r="G86" s="11">
        <v>0</v>
      </c>
      <c r="H86" s="11">
        <v>0</v>
      </c>
      <c r="I86" s="93"/>
      <c r="J86" s="94"/>
      <c r="K86" s="95" t="s">
        <v>65</v>
      </c>
      <c r="L86" s="96"/>
    </row>
    <row r="87" spans="2:12" s="20" customFormat="1" ht="14.25" hidden="1" outlineLevel="1">
      <c r="B87" s="12" t="s">
        <v>233</v>
      </c>
      <c r="C87" s="13"/>
      <c r="D87" s="14">
        <v>0</v>
      </c>
      <c r="E87" s="14">
        <v>0</v>
      </c>
      <c r="F87" s="14">
        <v>0</v>
      </c>
      <c r="G87" s="14">
        <v>0</v>
      </c>
      <c r="H87" s="14">
        <v>0</v>
      </c>
      <c r="I87" s="97"/>
      <c r="J87" s="83"/>
      <c r="K87" s="98" t="s">
        <v>65</v>
      </c>
      <c r="L87" s="99"/>
    </row>
    <row r="88" spans="2:12" s="20" customFormat="1" ht="14.25" hidden="1" outlineLevel="1">
      <c r="B88" s="9" t="s">
        <v>233</v>
      </c>
      <c r="C88" s="10"/>
      <c r="D88" s="11">
        <v>0</v>
      </c>
      <c r="E88" s="11">
        <v>0</v>
      </c>
      <c r="F88" s="11">
        <v>0</v>
      </c>
      <c r="G88" s="11">
        <v>0</v>
      </c>
      <c r="H88" s="11">
        <v>0</v>
      </c>
      <c r="I88" s="93"/>
      <c r="J88" s="94"/>
      <c r="K88" s="95" t="s">
        <v>65</v>
      </c>
      <c r="L88" s="96"/>
    </row>
    <row r="89" spans="2:12" s="20" customFormat="1" ht="14.25" hidden="1" outlineLevel="1">
      <c r="B89" s="12" t="s">
        <v>233</v>
      </c>
      <c r="C89" s="13"/>
      <c r="D89" s="14">
        <v>0</v>
      </c>
      <c r="E89" s="14">
        <v>0</v>
      </c>
      <c r="F89" s="14">
        <v>0</v>
      </c>
      <c r="G89" s="14">
        <v>0</v>
      </c>
      <c r="H89" s="14">
        <v>0</v>
      </c>
      <c r="I89" s="97"/>
      <c r="J89" s="83"/>
      <c r="K89" s="98" t="s">
        <v>65</v>
      </c>
      <c r="L89" s="99"/>
    </row>
    <row r="90" spans="2:12" s="20" customFormat="1" ht="14.25" hidden="1" outlineLevel="1">
      <c r="B90" s="9" t="s">
        <v>233</v>
      </c>
      <c r="C90" s="10"/>
      <c r="D90" s="11">
        <v>0</v>
      </c>
      <c r="E90" s="11">
        <v>0</v>
      </c>
      <c r="F90" s="11">
        <v>0</v>
      </c>
      <c r="G90" s="11">
        <v>0</v>
      </c>
      <c r="H90" s="11">
        <v>0</v>
      </c>
      <c r="I90" s="93"/>
      <c r="J90" s="94"/>
      <c r="K90" s="95" t="s">
        <v>65</v>
      </c>
      <c r="L90" s="96"/>
    </row>
    <row r="91" spans="2:12" s="20" customFormat="1" ht="14.25" collapsed="1">
      <c r="B91" s="12" t="s">
        <v>210</v>
      </c>
      <c r="C91" s="13"/>
      <c r="D91" s="14"/>
      <c r="E91" s="14"/>
      <c r="F91" s="14"/>
      <c r="G91" s="14"/>
      <c r="H91" s="14"/>
      <c r="I91" s="97"/>
      <c r="J91" s="83"/>
      <c r="K91" s="204"/>
      <c r="L91" s="87"/>
    </row>
    <row r="92" spans="2:12" s="20" customFormat="1" ht="3.75" customHeight="1">
      <c r="B92" s="12"/>
      <c r="C92" s="13"/>
      <c r="D92" s="14"/>
      <c r="E92" s="14"/>
      <c r="F92" s="14"/>
      <c r="G92" s="14"/>
      <c r="H92" s="14"/>
      <c r="I92" s="97"/>
      <c r="J92" s="83"/>
      <c r="K92" s="100"/>
      <c r="L92" s="99"/>
    </row>
    <row r="93" spans="2:12" s="20" customFormat="1" ht="14.25">
      <c r="B93" s="116" t="s">
        <v>212</v>
      </c>
      <c r="C93" s="117"/>
      <c r="D93" s="118">
        <f>SUM(D52:D92)</f>
        <v>0</v>
      </c>
      <c r="E93" s="118">
        <f>SUM(E52:E92)</f>
        <v>0</v>
      </c>
      <c r="F93" s="118">
        <f>SUM(F52:F92)</f>
        <v>0</v>
      </c>
      <c r="G93" s="118">
        <f>SUM(G52:G92)</f>
        <v>0</v>
      </c>
      <c r="H93" s="118">
        <f>SUM(H52:H92)</f>
        <v>0</v>
      </c>
      <c r="I93" s="119"/>
      <c r="J93" s="120"/>
      <c r="K93" s="230"/>
      <c r="L93" s="121"/>
    </row>
    <row r="94" spans="2:12" s="20" customFormat="1" ht="14.25">
      <c r="B94" s="116"/>
      <c r="C94" s="117"/>
      <c r="D94" s="184"/>
      <c r="E94" s="184"/>
      <c r="F94" s="184"/>
      <c r="G94" s="184"/>
      <c r="H94" s="184"/>
      <c r="I94" s="119"/>
      <c r="J94" s="120"/>
      <c r="K94" s="230"/>
      <c r="L94" s="121"/>
    </row>
    <row r="95" spans="2:12" s="20" customFormat="1" ht="42.75">
      <c r="B95" s="91" t="s">
        <v>424</v>
      </c>
      <c r="C95" s="117"/>
      <c r="D95" s="184"/>
      <c r="E95" s="184"/>
      <c r="F95" s="184"/>
      <c r="G95" s="184"/>
      <c r="H95" s="184"/>
      <c r="I95" s="119"/>
      <c r="J95" s="120"/>
      <c r="K95" s="121"/>
      <c r="L95" s="125" t="s">
        <v>393</v>
      </c>
    </row>
    <row r="96" spans="2:12" s="20" customFormat="1" ht="14.25">
      <c r="B96" s="233" t="s">
        <v>364</v>
      </c>
      <c r="C96" s="235"/>
      <c r="D96" s="236"/>
      <c r="E96" s="236"/>
      <c r="F96" s="236"/>
      <c r="G96" s="236"/>
      <c r="H96" s="236"/>
      <c r="I96" s="237"/>
      <c r="J96" s="120"/>
      <c r="K96" s="233"/>
      <c r="L96" s="238"/>
    </row>
    <row r="97" spans="1:13" s="20" customFormat="1" ht="14.25">
      <c r="B97" s="95" t="s">
        <v>419</v>
      </c>
      <c r="C97" s="10" t="s">
        <v>270</v>
      </c>
      <c r="D97" s="11">
        <v>0</v>
      </c>
      <c r="E97" s="11">
        <v>0</v>
      </c>
      <c r="F97" s="11">
        <v>0</v>
      </c>
      <c r="G97" s="11">
        <v>0</v>
      </c>
      <c r="H97" s="11">
        <v>0</v>
      </c>
      <c r="I97" s="93"/>
      <c r="J97" s="94"/>
      <c r="K97" s="242" t="str">
        <f>VLOOKUP($B97,Secteurs_PQI_OP,2,0)</f>
        <v>-- Choisir un secteur d'activité dans la colonne B --</v>
      </c>
      <c r="L97" s="96"/>
    </row>
    <row r="98" spans="1:13" s="213" customFormat="1" ht="22.5">
      <c r="A98" s="20"/>
      <c r="B98" s="214" t="str">
        <f>"Impact financier – "&amp;RIGHT(B96,LEN(B96)-2)</f>
        <v>Impact financier –  Construction de nouvelles écoles primaires</v>
      </c>
      <c r="C98" s="215"/>
      <c r="D98" s="216">
        <f>(D97/2)/25</f>
        <v>0</v>
      </c>
      <c r="E98" s="216">
        <f>(E97/2)/25+((D97)/25)</f>
        <v>0</v>
      </c>
      <c r="F98" s="216">
        <f>(F97/2)/25+((D97+E97)/25)</f>
        <v>0</v>
      </c>
      <c r="G98" s="216">
        <f>(G97/2)/25+((D97+E97+F97)/25)</f>
        <v>0</v>
      </c>
      <c r="H98" s="216">
        <f>(H97/2)/25+((D97+E97+F97+G97)/25)</f>
        <v>0</v>
      </c>
      <c r="I98" s="217"/>
      <c r="J98" s="218"/>
      <c r="K98" s="219" t="s">
        <v>221</v>
      </c>
      <c r="L98" s="212"/>
      <c r="M98" s="20"/>
    </row>
    <row r="99" spans="1:13" s="20" customFormat="1" ht="14.25">
      <c r="B99" s="233" t="s">
        <v>269</v>
      </c>
      <c r="C99" s="235"/>
      <c r="D99" s="236"/>
      <c r="E99" s="236"/>
      <c r="F99" s="236"/>
      <c r="G99" s="236"/>
      <c r="H99" s="236"/>
      <c r="I99" s="237"/>
      <c r="J99" s="120"/>
      <c r="K99" s="233"/>
      <c r="L99" s="238"/>
    </row>
    <row r="100" spans="1:13" s="20" customFormat="1" ht="14.25">
      <c r="B100" s="95" t="s">
        <v>419</v>
      </c>
      <c r="C100" s="10" t="s">
        <v>270</v>
      </c>
      <c r="D100" s="11">
        <v>0</v>
      </c>
      <c r="E100" s="11">
        <v>0</v>
      </c>
      <c r="F100" s="11">
        <v>0</v>
      </c>
      <c r="G100" s="11">
        <v>0</v>
      </c>
      <c r="H100" s="11">
        <v>0</v>
      </c>
      <c r="I100" s="93"/>
      <c r="J100" s="94"/>
      <c r="K100" s="242" t="str">
        <f>VLOOKUP($B100,Secteurs_PQI_OP,2,0)</f>
        <v>-- Choisir un secteur d'activité dans la colonne B --</v>
      </c>
      <c r="L100" s="96"/>
    </row>
    <row r="101" spans="1:13" s="213" customFormat="1" ht="15">
      <c r="A101" s="20"/>
      <c r="B101" s="214" t="str">
        <f>"Impact financier – "&amp;RIGHT(B99,LEN(B99)-2)</f>
        <v>Impact financier –  ITA de Saint-Hyacinthe</v>
      </c>
      <c r="C101" s="215"/>
      <c r="D101" s="216">
        <f>(D100/2)/25</f>
        <v>0</v>
      </c>
      <c r="E101" s="216">
        <f>(E100/2)/25+((D100)/25)</f>
        <v>0</v>
      </c>
      <c r="F101" s="216">
        <f>(F100/2)/25+((D100+E100)/25)</f>
        <v>0</v>
      </c>
      <c r="G101" s="216">
        <f>(G100/2)/25+((D100+E100+F100)/25)</f>
        <v>0</v>
      </c>
      <c r="H101" s="216">
        <f>(H100/2)/25+((D100+E100+F100+G100)/25)</f>
        <v>0</v>
      </c>
      <c r="I101" s="217"/>
      <c r="J101" s="218"/>
      <c r="K101" s="219" t="s">
        <v>221</v>
      </c>
      <c r="L101" s="212"/>
      <c r="M101" s="20"/>
    </row>
    <row r="102" spans="1:13" s="20" customFormat="1" ht="14.25">
      <c r="B102" s="234" t="s">
        <v>233</v>
      </c>
      <c r="C102" s="235"/>
      <c r="D102" s="236"/>
      <c r="E102" s="236"/>
      <c r="F102" s="236"/>
      <c r="G102" s="236"/>
      <c r="H102" s="236"/>
      <c r="I102" s="237"/>
      <c r="J102" s="120"/>
      <c r="K102" s="233"/>
      <c r="L102" s="238"/>
    </row>
    <row r="103" spans="1:13" s="20" customFormat="1" ht="14.25">
      <c r="B103" s="95" t="s">
        <v>419</v>
      </c>
      <c r="C103" s="10" t="s">
        <v>270</v>
      </c>
      <c r="D103" s="11">
        <v>0</v>
      </c>
      <c r="E103" s="11">
        <v>0</v>
      </c>
      <c r="F103" s="11">
        <v>0</v>
      </c>
      <c r="G103" s="11">
        <v>0</v>
      </c>
      <c r="H103" s="11">
        <v>0</v>
      </c>
      <c r="I103" s="93"/>
      <c r="J103" s="94"/>
      <c r="K103" s="242" t="str">
        <f>VLOOKUP($B103,Secteurs_PQI_OP,2,0)</f>
        <v>-- Choisir un secteur d'activité dans la colonne B --</v>
      </c>
      <c r="L103" s="96"/>
    </row>
    <row r="104" spans="1:13" s="213" customFormat="1" ht="15">
      <c r="A104" s="20"/>
      <c r="B104" s="214" t="str">
        <f>"Impact financier – "&amp;RIGHT(B102,LEN(B102)-2)</f>
        <v>Impact financier –   Nom de l'engagement</v>
      </c>
      <c r="C104" s="215"/>
      <c r="D104" s="216">
        <f>(D103/2)/25</f>
        <v>0</v>
      </c>
      <c r="E104" s="216">
        <f>(E103/2)/25+((D103)/25)</f>
        <v>0</v>
      </c>
      <c r="F104" s="216">
        <f>(F103/2)/25+((D103+E103)/25)</f>
        <v>0</v>
      </c>
      <c r="G104" s="216">
        <f>(G103/2)/25+((D103+E103+F103)/25)</f>
        <v>0</v>
      </c>
      <c r="H104" s="216">
        <f>(H103/2)/25+((D103+E103+F103+G103)/25)</f>
        <v>0</v>
      </c>
      <c r="I104" s="217"/>
      <c r="J104" s="218"/>
      <c r="K104" s="219" t="s">
        <v>221</v>
      </c>
      <c r="L104" s="212"/>
      <c r="M104" s="20"/>
    </row>
    <row r="105" spans="1:13" s="20" customFormat="1" ht="14.25">
      <c r="B105" s="234" t="s">
        <v>233</v>
      </c>
      <c r="C105" s="235"/>
      <c r="D105" s="236"/>
      <c r="E105" s="236"/>
      <c r="F105" s="236"/>
      <c r="G105" s="236"/>
      <c r="H105" s="236"/>
      <c r="I105" s="237"/>
      <c r="J105" s="120"/>
      <c r="K105" s="233"/>
      <c r="L105" s="238"/>
    </row>
    <row r="106" spans="1:13" s="20" customFormat="1" ht="14.25">
      <c r="B106" s="95" t="s">
        <v>419</v>
      </c>
      <c r="C106" s="10" t="s">
        <v>270</v>
      </c>
      <c r="D106" s="11">
        <v>0</v>
      </c>
      <c r="E106" s="11">
        <v>0</v>
      </c>
      <c r="F106" s="11">
        <v>0</v>
      </c>
      <c r="G106" s="11">
        <v>0</v>
      </c>
      <c r="H106" s="11">
        <v>0</v>
      </c>
      <c r="I106" s="93"/>
      <c r="J106" s="94"/>
      <c r="K106" s="242" t="str">
        <f>VLOOKUP($B106,Secteurs_PQI_OP,2,0)</f>
        <v>-- Choisir un secteur d'activité dans la colonne B --</v>
      </c>
      <c r="L106" s="96"/>
    </row>
    <row r="107" spans="1:13" s="213" customFormat="1" ht="15">
      <c r="A107" s="20"/>
      <c r="B107" s="214" t="str">
        <f>"Impact financier – "&amp;RIGHT(B105,LEN(B105)-2)</f>
        <v>Impact financier –   Nom de l'engagement</v>
      </c>
      <c r="C107" s="215"/>
      <c r="D107" s="216">
        <f>(D106/2)/25</f>
        <v>0</v>
      </c>
      <c r="E107" s="216">
        <f>(E106/2)/25+((D106)/25)</f>
        <v>0</v>
      </c>
      <c r="F107" s="216">
        <f>(F106/2)/25+((D106+E106)/25)</f>
        <v>0</v>
      </c>
      <c r="G107" s="216">
        <f>(G106/2)/25+((D106+E106+F106)/25)</f>
        <v>0</v>
      </c>
      <c r="H107" s="216">
        <f>(H106/2)/25+((D106+E106+F106+G106)/25)</f>
        <v>0</v>
      </c>
      <c r="I107" s="217"/>
      <c r="J107" s="218"/>
      <c r="K107" s="219" t="s">
        <v>221</v>
      </c>
      <c r="L107" s="212"/>
      <c r="M107" s="20"/>
    </row>
    <row r="108" spans="1:13" s="20" customFormat="1" ht="14.25">
      <c r="B108" s="234" t="s">
        <v>233</v>
      </c>
      <c r="C108" s="235"/>
      <c r="D108" s="236"/>
      <c r="E108" s="236"/>
      <c r="F108" s="236"/>
      <c r="G108" s="236"/>
      <c r="H108" s="236"/>
      <c r="I108" s="237"/>
      <c r="J108" s="120"/>
      <c r="K108" s="233"/>
      <c r="L108" s="238"/>
    </row>
    <row r="109" spans="1:13" s="20" customFormat="1" ht="14.25">
      <c r="B109" s="95" t="s">
        <v>419</v>
      </c>
      <c r="C109" s="10" t="s">
        <v>270</v>
      </c>
      <c r="D109" s="11">
        <v>0</v>
      </c>
      <c r="E109" s="11">
        <v>0</v>
      </c>
      <c r="F109" s="11">
        <v>0</v>
      </c>
      <c r="G109" s="11">
        <v>0</v>
      </c>
      <c r="H109" s="11">
        <v>0</v>
      </c>
      <c r="I109" s="93"/>
      <c r="J109" s="94"/>
      <c r="K109" s="242" t="str">
        <f>VLOOKUP($B109,Secteurs_PQI_OP,2,0)</f>
        <v>-- Choisir un secteur d'activité dans la colonne B --</v>
      </c>
      <c r="L109" s="96"/>
    </row>
    <row r="110" spans="1:13" s="213" customFormat="1" ht="15">
      <c r="A110" s="20"/>
      <c r="B110" s="214" t="str">
        <f>"Impact financier – "&amp;RIGHT(B108,LEN(B108)-2)</f>
        <v>Impact financier –   Nom de l'engagement</v>
      </c>
      <c r="C110" s="215"/>
      <c r="D110" s="216">
        <f>(D109/2)/25</f>
        <v>0</v>
      </c>
      <c r="E110" s="216">
        <f>(E109/2)/25+((D109)/25)</f>
        <v>0</v>
      </c>
      <c r="F110" s="216">
        <f>(F109/2)/25+((D109+E109)/25)</f>
        <v>0</v>
      </c>
      <c r="G110" s="216">
        <f>(G109/2)/25+((D109+E109+F109)/25)</f>
        <v>0</v>
      </c>
      <c r="H110" s="216">
        <f>(H109/2)/25+((D109+E109+F109+G109)/25)</f>
        <v>0</v>
      </c>
      <c r="I110" s="217"/>
      <c r="J110" s="218"/>
      <c r="K110" s="219" t="s">
        <v>221</v>
      </c>
      <c r="L110" s="212"/>
      <c r="M110" s="20"/>
    </row>
    <row r="111" spans="1:13" s="20" customFormat="1" ht="14.25">
      <c r="B111" s="234" t="s">
        <v>233</v>
      </c>
      <c r="C111" s="235"/>
      <c r="D111" s="236"/>
      <c r="E111" s="236"/>
      <c r="F111" s="236"/>
      <c r="G111" s="236"/>
      <c r="H111" s="236"/>
      <c r="I111" s="237"/>
      <c r="J111" s="120"/>
      <c r="K111" s="233"/>
      <c r="L111" s="238"/>
    </row>
    <row r="112" spans="1:13" s="20" customFormat="1" ht="14.25">
      <c r="B112" s="95" t="s">
        <v>419</v>
      </c>
      <c r="C112" s="10" t="s">
        <v>270</v>
      </c>
      <c r="D112" s="11">
        <v>0</v>
      </c>
      <c r="E112" s="11">
        <v>0</v>
      </c>
      <c r="F112" s="11">
        <v>0</v>
      </c>
      <c r="G112" s="11">
        <v>0</v>
      </c>
      <c r="H112" s="11">
        <v>0</v>
      </c>
      <c r="I112" s="93"/>
      <c r="J112" s="94"/>
      <c r="K112" s="242" t="str">
        <f>VLOOKUP($B112,Secteurs_PQI_OP,2,0)</f>
        <v>-- Choisir un secteur d'activité dans la colonne B --</v>
      </c>
      <c r="L112" s="96"/>
    </row>
    <row r="113" spans="1:13" s="213" customFormat="1" ht="15">
      <c r="A113" s="20"/>
      <c r="B113" s="214" t="str">
        <f>"Impact financier – "&amp;RIGHT(B111,LEN(B111)-2)</f>
        <v>Impact financier –   Nom de l'engagement</v>
      </c>
      <c r="C113" s="215"/>
      <c r="D113" s="216">
        <f>(D112/2)/25</f>
        <v>0</v>
      </c>
      <c r="E113" s="216">
        <f>(E112/2)/25+((D112)/25)</f>
        <v>0</v>
      </c>
      <c r="F113" s="216">
        <f>(F112/2)/25+((D112+E112)/25)</f>
        <v>0</v>
      </c>
      <c r="G113" s="216">
        <f>(G112/2)/25+((D112+E112+F112)/25)</f>
        <v>0</v>
      </c>
      <c r="H113" s="216">
        <f>(H112/2)/25+((D112+E112+F112+G112)/25)</f>
        <v>0</v>
      </c>
      <c r="I113" s="217"/>
      <c r="J113" s="218"/>
      <c r="K113" s="219" t="s">
        <v>221</v>
      </c>
      <c r="L113" s="212"/>
      <c r="M113" s="20"/>
    </row>
    <row r="114" spans="1:13" s="20" customFormat="1" ht="14.25">
      <c r="B114" s="234" t="s">
        <v>233</v>
      </c>
      <c r="C114" s="235"/>
      <c r="D114" s="236"/>
      <c r="E114" s="236"/>
      <c r="F114" s="236"/>
      <c r="G114" s="236"/>
      <c r="H114" s="236"/>
      <c r="I114" s="237"/>
      <c r="J114" s="120"/>
      <c r="K114" s="233"/>
      <c r="L114" s="238"/>
    </row>
    <row r="115" spans="1:13" s="20" customFormat="1" ht="14.25">
      <c r="B115" s="95" t="s">
        <v>419</v>
      </c>
      <c r="C115" s="10" t="s">
        <v>270</v>
      </c>
      <c r="D115" s="11">
        <v>0</v>
      </c>
      <c r="E115" s="11">
        <v>0</v>
      </c>
      <c r="F115" s="11">
        <v>0</v>
      </c>
      <c r="G115" s="11">
        <v>0</v>
      </c>
      <c r="H115" s="11">
        <v>0</v>
      </c>
      <c r="I115" s="93"/>
      <c r="J115" s="94"/>
      <c r="K115" s="242" t="str">
        <f>VLOOKUP($B115,Secteurs_PQI_OP,2,0)</f>
        <v>-- Choisir un secteur d'activité dans la colonne B --</v>
      </c>
      <c r="L115" s="96"/>
    </row>
    <row r="116" spans="1:13" s="213" customFormat="1" ht="15">
      <c r="A116" s="20"/>
      <c r="B116" s="214" t="str">
        <f>"Impact financier – "&amp;RIGHT(B114,LEN(B114)-2)</f>
        <v>Impact financier –   Nom de l'engagement</v>
      </c>
      <c r="C116" s="215"/>
      <c r="D116" s="216">
        <f>(D115/2)/25</f>
        <v>0</v>
      </c>
      <c r="E116" s="216">
        <f>(E115/2)/25+((D115)/25)</f>
        <v>0</v>
      </c>
      <c r="F116" s="216">
        <f>(F115/2)/25+((D115+E115)/25)</f>
        <v>0</v>
      </c>
      <c r="G116" s="216">
        <f>(G115/2)/25+((D115+E115+F115)/25)</f>
        <v>0</v>
      </c>
      <c r="H116" s="216">
        <f>(H115/2)/25+((D115+E115+F115+G115)/25)</f>
        <v>0</v>
      </c>
      <c r="I116" s="217"/>
      <c r="J116" s="218"/>
      <c r="K116" s="219" t="s">
        <v>221</v>
      </c>
      <c r="L116" s="212"/>
      <c r="M116" s="20"/>
    </row>
    <row r="117" spans="1:13" s="20" customFormat="1" ht="14.25">
      <c r="B117" s="234" t="s">
        <v>233</v>
      </c>
      <c r="C117" s="235"/>
      <c r="D117" s="236"/>
      <c r="E117" s="236"/>
      <c r="F117" s="236"/>
      <c r="G117" s="236"/>
      <c r="H117" s="236"/>
      <c r="I117" s="237"/>
      <c r="J117" s="120"/>
      <c r="K117" s="233"/>
      <c r="L117" s="238"/>
    </row>
    <row r="118" spans="1:13" s="20" customFormat="1" ht="14.25">
      <c r="B118" s="95" t="s">
        <v>419</v>
      </c>
      <c r="C118" s="10" t="s">
        <v>270</v>
      </c>
      <c r="D118" s="11">
        <v>0</v>
      </c>
      <c r="E118" s="11">
        <v>0</v>
      </c>
      <c r="F118" s="11">
        <v>0</v>
      </c>
      <c r="G118" s="11">
        <v>0</v>
      </c>
      <c r="H118" s="11">
        <v>0</v>
      </c>
      <c r="I118" s="93"/>
      <c r="J118" s="94"/>
      <c r="K118" s="242" t="str">
        <f>VLOOKUP($B118,Secteurs_PQI_OP,2,0)</f>
        <v>-- Choisir un secteur d'activité dans la colonne B --</v>
      </c>
      <c r="L118" s="96"/>
    </row>
    <row r="119" spans="1:13" s="213" customFormat="1" ht="15">
      <c r="A119" s="20"/>
      <c r="B119" s="214" t="str">
        <f>"Impact financier – "&amp;RIGHT(B117,LEN(B117)-2)</f>
        <v>Impact financier –   Nom de l'engagement</v>
      </c>
      <c r="C119" s="215"/>
      <c r="D119" s="216">
        <f>(D118/2)/25</f>
        <v>0</v>
      </c>
      <c r="E119" s="216">
        <f>(E118/2)/25+((D118)/25)</f>
        <v>0</v>
      </c>
      <c r="F119" s="216">
        <f>(F118/2)/25+((D118+E118)/25)</f>
        <v>0</v>
      </c>
      <c r="G119" s="216">
        <f>(G118/2)/25+((D118+E118+F118)/25)</f>
        <v>0</v>
      </c>
      <c r="H119" s="216">
        <f>(H118/2)/25+((D118+E118+F118+G118)/25)</f>
        <v>0</v>
      </c>
      <c r="I119" s="217"/>
      <c r="J119" s="218"/>
      <c r="K119" s="219" t="s">
        <v>221</v>
      </c>
      <c r="L119" s="212"/>
      <c r="M119" s="20"/>
    </row>
    <row r="120" spans="1:13" s="20" customFormat="1" ht="14.25">
      <c r="B120" s="234" t="s">
        <v>233</v>
      </c>
      <c r="C120" s="235"/>
      <c r="D120" s="236"/>
      <c r="E120" s="236"/>
      <c r="F120" s="236"/>
      <c r="G120" s="236"/>
      <c r="H120" s="236"/>
      <c r="I120" s="237"/>
      <c r="J120" s="120"/>
      <c r="K120" s="233"/>
      <c r="L120" s="238"/>
    </row>
    <row r="121" spans="1:13" s="20" customFormat="1" ht="14.25">
      <c r="B121" s="95" t="s">
        <v>419</v>
      </c>
      <c r="C121" s="10" t="s">
        <v>270</v>
      </c>
      <c r="D121" s="11">
        <v>0</v>
      </c>
      <c r="E121" s="11">
        <v>0</v>
      </c>
      <c r="F121" s="11">
        <v>0</v>
      </c>
      <c r="G121" s="11">
        <v>0</v>
      </c>
      <c r="H121" s="11">
        <v>0</v>
      </c>
      <c r="I121" s="93"/>
      <c r="J121" s="94"/>
      <c r="K121" s="242" t="str">
        <f>VLOOKUP($B121,Secteurs_PQI_OP,2,0)</f>
        <v>-- Choisir un secteur d'activité dans la colonne B --</v>
      </c>
      <c r="L121" s="96"/>
    </row>
    <row r="122" spans="1:13" s="213" customFormat="1" ht="15">
      <c r="A122" s="20"/>
      <c r="B122" s="214" t="str">
        <f>"Impact financier – "&amp;RIGHT(B120,LEN(B120)-2)</f>
        <v>Impact financier –   Nom de l'engagement</v>
      </c>
      <c r="C122" s="215"/>
      <c r="D122" s="216">
        <f>(D121/2)/25</f>
        <v>0</v>
      </c>
      <c r="E122" s="216">
        <f>(E121/2)/25+((D121)/25)</f>
        <v>0</v>
      </c>
      <c r="F122" s="216">
        <f>(F121/2)/25+((D121+E121)/25)</f>
        <v>0</v>
      </c>
      <c r="G122" s="216">
        <f>(G121/2)/25+((D121+E121+F121)/25)</f>
        <v>0</v>
      </c>
      <c r="H122" s="216">
        <f>(H121/2)/25+((D121+E121+F121+G121)/25)</f>
        <v>0</v>
      </c>
      <c r="I122" s="217"/>
      <c r="J122" s="218"/>
      <c r="K122" s="219" t="s">
        <v>221</v>
      </c>
      <c r="L122" s="212"/>
      <c r="M122" s="20"/>
    </row>
    <row r="123" spans="1:13" s="20" customFormat="1" ht="14.25" hidden="1" outlineLevel="1">
      <c r="B123" s="234" t="s">
        <v>233</v>
      </c>
      <c r="C123" s="235"/>
      <c r="D123" s="236"/>
      <c r="E123" s="236"/>
      <c r="F123" s="236"/>
      <c r="G123" s="236"/>
      <c r="H123" s="236"/>
      <c r="I123" s="237"/>
      <c r="J123" s="120"/>
      <c r="K123" s="233"/>
      <c r="L123" s="238"/>
    </row>
    <row r="124" spans="1:13" s="20" customFormat="1" ht="14.25" hidden="1" outlineLevel="1">
      <c r="B124" s="95" t="s">
        <v>419</v>
      </c>
      <c r="C124" s="10" t="s">
        <v>270</v>
      </c>
      <c r="D124" s="11">
        <v>0</v>
      </c>
      <c r="E124" s="11">
        <v>0</v>
      </c>
      <c r="F124" s="11">
        <v>0</v>
      </c>
      <c r="G124" s="11">
        <v>0</v>
      </c>
      <c r="H124" s="11">
        <v>0</v>
      </c>
      <c r="I124" s="93"/>
      <c r="J124" s="94"/>
      <c r="K124" s="242" t="str">
        <f>VLOOKUP($B124,Secteurs_PQI_OP,2,0)</f>
        <v>-- Choisir un secteur d'activité dans la colonne B --</v>
      </c>
      <c r="L124" s="96"/>
    </row>
    <row r="125" spans="1:13" s="213" customFormat="1" ht="15" hidden="1" outlineLevel="1">
      <c r="A125" s="20"/>
      <c r="B125" s="214" t="str">
        <f>"Impact financier – "&amp;RIGHT(B123,LEN(B123)-2)</f>
        <v>Impact financier –   Nom de l'engagement</v>
      </c>
      <c r="C125" s="215"/>
      <c r="D125" s="216">
        <f>(D124/2)/25</f>
        <v>0</v>
      </c>
      <c r="E125" s="216">
        <f>(E124/2)/25+((D124)/25)</f>
        <v>0</v>
      </c>
      <c r="F125" s="216">
        <f>(F124/2)/25+((D124+E124)/25)</f>
        <v>0</v>
      </c>
      <c r="G125" s="216">
        <f>(G124/2)/25+((D124+E124+F124)/25)</f>
        <v>0</v>
      </c>
      <c r="H125" s="216">
        <f>(H124/2)/25+((D124+E124+F124+G124)/25)</f>
        <v>0</v>
      </c>
      <c r="I125" s="217"/>
      <c r="J125" s="218"/>
      <c r="K125" s="219" t="s">
        <v>221</v>
      </c>
      <c r="L125" s="212"/>
      <c r="M125" s="20"/>
    </row>
    <row r="126" spans="1:13" s="20" customFormat="1" ht="14.25" hidden="1" outlineLevel="1">
      <c r="B126" s="234" t="s">
        <v>233</v>
      </c>
      <c r="C126" s="235"/>
      <c r="D126" s="236"/>
      <c r="E126" s="236"/>
      <c r="F126" s="236"/>
      <c r="G126" s="236"/>
      <c r="H126" s="236"/>
      <c r="I126" s="237"/>
      <c r="J126" s="120"/>
      <c r="K126" s="233"/>
      <c r="L126" s="238"/>
    </row>
    <row r="127" spans="1:13" s="20" customFormat="1" ht="14.25" hidden="1" outlineLevel="1">
      <c r="B127" s="95" t="s">
        <v>419</v>
      </c>
      <c r="C127" s="10" t="s">
        <v>270</v>
      </c>
      <c r="D127" s="11">
        <v>0</v>
      </c>
      <c r="E127" s="11">
        <v>0</v>
      </c>
      <c r="F127" s="11">
        <v>0</v>
      </c>
      <c r="G127" s="11">
        <v>0</v>
      </c>
      <c r="H127" s="11">
        <v>0</v>
      </c>
      <c r="I127" s="93"/>
      <c r="J127" s="94"/>
      <c r="K127" s="242" t="str">
        <f>VLOOKUP($B127,Secteurs_PQI_OP,2,0)</f>
        <v>-- Choisir un secteur d'activité dans la colonne B --</v>
      </c>
      <c r="L127" s="96"/>
    </row>
    <row r="128" spans="1:13" s="213" customFormat="1" ht="15" hidden="1" outlineLevel="1">
      <c r="A128" s="20"/>
      <c r="B128" s="214" t="str">
        <f>"Impact financier – "&amp;RIGHT(B126,LEN(B126)-2)</f>
        <v>Impact financier –   Nom de l'engagement</v>
      </c>
      <c r="C128" s="215"/>
      <c r="D128" s="216">
        <f>(D127/2)/25</f>
        <v>0</v>
      </c>
      <c r="E128" s="216">
        <f>(E127/2)/25+((D127)/25)</f>
        <v>0</v>
      </c>
      <c r="F128" s="216">
        <f>(F127/2)/25+((D127+E127)/25)</f>
        <v>0</v>
      </c>
      <c r="G128" s="216">
        <f>(G127/2)/25+((D127+E127+F127)/25)</f>
        <v>0</v>
      </c>
      <c r="H128" s="216">
        <f>(H127/2)/25+((D127+E127+F127+G127)/25)</f>
        <v>0</v>
      </c>
      <c r="I128" s="217"/>
      <c r="J128" s="218"/>
      <c r="K128" s="219" t="s">
        <v>221</v>
      </c>
      <c r="L128" s="212"/>
      <c r="M128" s="20"/>
    </row>
    <row r="129" spans="1:13" s="20" customFormat="1" ht="14.25" hidden="1" outlineLevel="1">
      <c r="B129" s="234" t="s">
        <v>233</v>
      </c>
      <c r="C129" s="235"/>
      <c r="D129" s="236"/>
      <c r="E129" s="236"/>
      <c r="F129" s="236"/>
      <c r="G129" s="236"/>
      <c r="H129" s="236"/>
      <c r="I129" s="237"/>
      <c r="J129" s="120"/>
      <c r="K129" s="233"/>
      <c r="L129" s="238"/>
    </row>
    <row r="130" spans="1:13" s="20" customFormat="1" ht="14.25" hidden="1" outlineLevel="1">
      <c r="B130" s="95" t="s">
        <v>419</v>
      </c>
      <c r="C130" s="10" t="s">
        <v>270</v>
      </c>
      <c r="D130" s="11">
        <v>0</v>
      </c>
      <c r="E130" s="11">
        <v>0</v>
      </c>
      <c r="F130" s="11">
        <v>0</v>
      </c>
      <c r="G130" s="11">
        <v>0</v>
      </c>
      <c r="H130" s="11">
        <v>0</v>
      </c>
      <c r="I130" s="93"/>
      <c r="J130" s="94"/>
      <c r="K130" s="242" t="str">
        <f>VLOOKUP($B130,Secteurs_PQI_OP,2,0)</f>
        <v>-- Choisir un secteur d'activité dans la colonne B --</v>
      </c>
      <c r="L130" s="96"/>
    </row>
    <row r="131" spans="1:13" s="213" customFormat="1" ht="15" hidden="1" outlineLevel="1">
      <c r="A131" s="20"/>
      <c r="B131" s="214" t="str">
        <f>"Impact financier – "&amp;RIGHT(B129,LEN(B129)-2)</f>
        <v>Impact financier –   Nom de l'engagement</v>
      </c>
      <c r="C131" s="215"/>
      <c r="D131" s="216">
        <f>(D130/2)/25</f>
        <v>0</v>
      </c>
      <c r="E131" s="216">
        <f>(E130/2)/25+((D130)/25)</f>
        <v>0</v>
      </c>
      <c r="F131" s="216">
        <f>(F130/2)/25+((D130+E130)/25)</f>
        <v>0</v>
      </c>
      <c r="G131" s="216">
        <f>(G130/2)/25+((D130+E130+F130)/25)</f>
        <v>0</v>
      </c>
      <c r="H131" s="216">
        <f>(H130/2)/25+((D130+E130+F130+G130)/25)</f>
        <v>0</v>
      </c>
      <c r="I131" s="217"/>
      <c r="J131" s="218"/>
      <c r="K131" s="219" t="s">
        <v>221</v>
      </c>
      <c r="L131" s="212"/>
      <c r="M131" s="20"/>
    </row>
    <row r="132" spans="1:13" s="20" customFormat="1" ht="14.25" hidden="1" outlineLevel="1">
      <c r="B132" s="234" t="s">
        <v>233</v>
      </c>
      <c r="C132" s="235"/>
      <c r="D132" s="236"/>
      <c r="E132" s="236"/>
      <c r="F132" s="236"/>
      <c r="G132" s="236"/>
      <c r="H132" s="236"/>
      <c r="I132" s="237"/>
      <c r="J132" s="120"/>
      <c r="K132" s="233"/>
      <c r="L132" s="238"/>
    </row>
    <row r="133" spans="1:13" s="20" customFormat="1" ht="14.25" hidden="1" outlineLevel="1">
      <c r="B133" s="95" t="s">
        <v>419</v>
      </c>
      <c r="C133" s="10" t="s">
        <v>270</v>
      </c>
      <c r="D133" s="11">
        <v>0</v>
      </c>
      <c r="E133" s="11">
        <v>0</v>
      </c>
      <c r="F133" s="11">
        <v>0</v>
      </c>
      <c r="G133" s="11">
        <v>0</v>
      </c>
      <c r="H133" s="11">
        <v>0</v>
      </c>
      <c r="I133" s="93"/>
      <c r="J133" s="94"/>
      <c r="K133" s="242" t="str">
        <f>VLOOKUP($B133,Secteurs_PQI_OP,2,0)</f>
        <v>-- Choisir un secteur d'activité dans la colonne B --</v>
      </c>
      <c r="L133" s="96"/>
    </row>
    <row r="134" spans="1:13" s="213" customFormat="1" ht="15" hidden="1" outlineLevel="1">
      <c r="A134" s="20"/>
      <c r="B134" s="214" t="str">
        <f>"Impact financier – "&amp;RIGHT(B132,LEN(B132)-2)</f>
        <v>Impact financier –   Nom de l'engagement</v>
      </c>
      <c r="C134" s="215"/>
      <c r="D134" s="216">
        <f>(D133/2)/25</f>
        <v>0</v>
      </c>
      <c r="E134" s="216">
        <f>(E133/2)/25+((D133)/25)</f>
        <v>0</v>
      </c>
      <c r="F134" s="216">
        <f>(F133/2)/25+((D133+E133)/25)</f>
        <v>0</v>
      </c>
      <c r="G134" s="216">
        <f>(G133/2)/25+((D133+E133+F133)/25)</f>
        <v>0</v>
      </c>
      <c r="H134" s="216">
        <f>(H133/2)/25+((D133+E133+F133+G133)/25)</f>
        <v>0</v>
      </c>
      <c r="I134" s="217"/>
      <c r="J134" s="218"/>
      <c r="K134" s="219" t="s">
        <v>221</v>
      </c>
      <c r="L134" s="212"/>
      <c r="M134" s="20"/>
    </row>
    <row r="135" spans="1:13" s="20" customFormat="1" ht="14.25" hidden="1" outlineLevel="1">
      <c r="B135" s="234" t="s">
        <v>233</v>
      </c>
      <c r="C135" s="235"/>
      <c r="D135" s="236"/>
      <c r="E135" s="236"/>
      <c r="F135" s="236"/>
      <c r="G135" s="236"/>
      <c r="H135" s="236"/>
      <c r="I135" s="237"/>
      <c r="J135" s="120"/>
      <c r="K135" s="233"/>
      <c r="L135" s="238"/>
    </row>
    <row r="136" spans="1:13" s="20" customFormat="1" ht="14.25" hidden="1" outlineLevel="1">
      <c r="B136" s="95" t="s">
        <v>419</v>
      </c>
      <c r="C136" s="10" t="s">
        <v>270</v>
      </c>
      <c r="D136" s="11">
        <v>0</v>
      </c>
      <c r="E136" s="11">
        <v>0</v>
      </c>
      <c r="F136" s="11">
        <v>0</v>
      </c>
      <c r="G136" s="11">
        <v>0</v>
      </c>
      <c r="H136" s="11">
        <v>0</v>
      </c>
      <c r="I136" s="93"/>
      <c r="J136" s="94"/>
      <c r="K136" s="242" t="str">
        <f>VLOOKUP($B136,Secteurs_PQI_OP,2,0)</f>
        <v>-- Choisir un secteur d'activité dans la colonne B --</v>
      </c>
      <c r="L136" s="96"/>
    </row>
    <row r="137" spans="1:13" s="213" customFormat="1" ht="15" hidden="1" outlineLevel="1">
      <c r="A137" s="20"/>
      <c r="B137" s="214" t="str">
        <f>"Impact financier – "&amp;RIGHT(B135,LEN(B135)-2)</f>
        <v>Impact financier –   Nom de l'engagement</v>
      </c>
      <c r="C137" s="215"/>
      <c r="D137" s="216">
        <f>(D136/2)/25</f>
        <v>0</v>
      </c>
      <c r="E137" s="216">
        <f>(E136/2)/25+((D136)/25)</f>
        <v>0</v>
      </c>
      <c r="F137" s="216">
        <f>(F136/2)/25+((D136+E136)/25)</f>
        <v>0</v>
      </c>
      <c r="G137" s="216">
        <f>(G136/2)/25+((D136+E136+F136)/25)</f>
        <v>0</v>
      </c>
      <c r="H137" s="216">
        <f>(H136/2)/25+((D136+E136+F136+G136)/25)</f>
        <v>0</v>
      </c>
      <c r="I137" s="217"/>
      <c r="J137" s="218"/>
      <c r="K137" s="219" t="s">
        <v>221</v>
      </c>
      <c r="L137" s="212"/>
      <c r="M137" s="20"/>
    </row>
    <row r="138" spans="1:13" s="20" customFormat="1" ht="14.25" hidden="1" outlineLevel="1">
      <c r="B138" s="234" t="s">
        <v>233</v>
      </c>
      <c r="C138" s="235"/>
      <c r="D138" s="236"/>
      <c r="E138" s="236"/>
      <c r="F138" s="236"/>
      <c r="G138" s="236"/>
      <c r="H138" s="236"/>
      <c r="I138" s="237"/>
      <c r="J138" s="120"/>
      <c r="K138" s="233"/>
      <c r="L138" s="238"/>
    </row>
    <row r="139" spans="1:13" s="20" customFormat="1" ht="14.25" hidden="1" outlineLevel="1">
      <c r="B139" s="95" t="s">
        <v>419</v>
      </c>
      <c r="C139" s="10" t="s">
        <v>270</v>
      </c>
      <c r="D139" s="11">
        <v>0</v>
      </c>
      <c r="E139" s="11">
        <v>0</v>
      </c>
      <c r="F139" s="11">
        <v>0</v>
      </c>
      <c r="G139" s="11">
        <v>0</v>
      </c>
      <c r="H139" s="11">
        <v>0</v>
      </c>
      <c r="I139" s="93"/>
      <c r="J139" s="94"/>
      <c r="K139" s="242" t="str">
        <f>VLOOKUP($B139,Secteurs_PQI_OP,2,0)</f>
        <v>-- Choisir un secteur d'activité dans la colonne B --</v>
      </c>
      <c r="L139" s="96"/>
    </row>
    <row r="140" spans="1:13" s="213" customFormat="1" ht="15" hidden="1" outlineLevel="1">
      <c r="A140" s="20"/>
      <c r="B140" s="214" t="str">
        <f>"Impact financier – "&amp;RIGHT(B138,LEN(B138)-2)</f>
        <v>Impact financier –   Nom de l'engagement</v>
      </c>
      <c r="C140" s="215"/>
      <c r="D140" s="216">
        <f>(D139/2)/25</f>
        <v>0</v>
      </c>
      <c r="E140" s="216">
        <f>(E139/2)/25+((D139)/25)</f>
        <v>0</v>
      </c>
      <c r="F140" s="216">
        <f>(F139/2)/25+((D139+E139)/25)</f>
        <v>0</v>
      </c>
      <c r="G140" s="216">
        <f>(G139/2)/25+((D139+E139+F139)/25)</f>
        <v>0</v>
      </c>
      <c r="H140" s="216">
        <f>(H139/2)/25+((D139+E139+F139+G139)/25)</f>
        <v>0</v>
      </c>
      <c r="I140" s="217"/>
      <c r="J140" s="218"/>
      <c r="K140" s="219" t="s">
        <v>221</v>
      </c>
      <c r="L140" s="212"/>
      <c r="M140" s="20"/>
    </row>
    <row r="141" spans="1:13" s="20" customFormat="1" ht="14.25" hidden="1" outlineLevel="1">
      <c r="B141" s="234" t="s">
        <v>233</v>
      </c>
      <c r="C141" s="235"/>
      <c r="D141" s="236"/>
      <c r="E141" s="236"/>
      <c r="F141" s="236"/>
      <c r="G141" s="236"/>
      <c r="H141" s="236"/>
      <c r="I141" s="237"/>
      <c r="J141" s="120"/>
      <c r="K141" s="233"/>
      <c r="L141" s="238"/>
    </row>
    <row r="142" spans="1:13" s="20" customFormat="1" ht="14.25" hidden="1" outlineLevel="1">
      <c r="B142" s="95" t="s">
        <v>419</v>
      </c>
      <c r="C142" s="10" t="s">
        <v>270</v>
      </c>
      <c r="D142" s="11">
        <v>0</v>
      </c>
      <c r="E142" s="11">
        <v>0</v>
      </c>
      <c r="F142" s="11">
        <v>0</v>
      </c>
      <c r="G142" s="11">
        <v>0</v>
      </c>
      <c r="H142" s="11">
        <v>0</v>
      </c>
      <c r="I142" s="93"/>
      <c r="J142" s="94"/>
      <c r="K142" s="242" t="str">
        <f>VLOOKUP($B142,Secteurs_PQI_OP,2,0)</f>
        <v>-- Choisir un secteur d'activité dans la colonne B --</v>
      </c>
      <c r="L142" s="96"/>
    </row>
    <row r="143" spans="1:13" s="213" customFormat="1" ht="15" hidden="1" outlineLevel="1">
      <c r="A143" s="20"/>
      <c r="B143" s="214" t="str">
        <f>"Impact financier – "&amp;RIGHT(B141,LEN(B141)-2)</f>
        <v>Impact financier –   Nom de l'engagement</v>
      </c>
      <c r="C143" s="215"/>
      <c r="D143" s="216">
        <f>(D142/2)/25</f>
        <v>0</v>
      </c>
      <c r="E143" s="216">
        <f>(E142/2)/25+((D142)/25)</f>
        <v>0</v>
      </c>
      <c r="F143" s="216">
        <f>(F142/2)/25+((D142+E142)/25)</f>
        <v>0</v>
      </c>
      <c r="G143" s="216">
        <f>(G142/2)/25+((D142+E142+F142)/25)</f>
        <v>0</v>
      </c>
      <c r="H143" s="216">
        <f>(H142/2)/25+((D142+E142+F142+G142)/25)</f>
        <v>0</v>
      </c>
      <c r="I143" s="217"/>
      <c r="J143" s="218"/>
      <c r="K143" s="219" t="s">
        <v>221</v>
      </c>
      <c r="L143" s="212"/>
      <c r="M143" s="20"/>
    </row>
    <row r="144" spans="1:13" s="20" customFormat="1" ht="14.25" hidden="1" outlineLevel="1">
      <c r="B144" s="234" t="s">
        <v>233</v>
      </c>
      <c r="C144" s="235"/>
      <c r="D144" s="236"/>
      <c r="E144" s="236"/>
      <c r="F144" s="236"/>
      <c r="G144" s="236"/>
      <c r="H144" s="236"/>
      <c r="I144" s="237"/>
      <c r="J144" s="120"/>
      <c r="K144" s="233"/>
      <c r="L144" s="238"/>
    </row>
    <row r="145" spans="1:13" s="20" customFormat="1" ht="14.25" hidden="1" outlineLevel="1">
      <c r="B145" s="95" t="s">
        <v>419</v>
      </c>
      <c r="C145" s="10" t="s">
        <v>270</v>
      </c>
      <c r="D145" s="11">
        <v>0</v>
      </c>
      <c r="E145" s="11">
        <v>0</v>
      </c>
      <c r="F145" s="11">
        <v>0</v>
      </c>
      <c r="G145" s="11">
        <v>0</v>
      </c>
      <c r="H145" s="11">
        <v>0</v>
      </c>
      <c r="I145" s="93"/>
      <c r="J145" s="94"/>
      <c r="K145" s="242" t="str">
        <f>VLOOKUP($B145,Secteurs_PQI_OP,2,0)</f>
        <v>-- Choisir un secteur d'activité dans la colonne B --</v>
      </c>
      <c r="L145" s="96"/>
    </row>
    <row r="146" spans="1:13" s="213" customFormat="1" ht="15" hidden="1" outlineLevel="1">
      <c r="A146" s="20"/>
      <c r="B146" s="214" t="str">
        <f>"Impact financier – "&amp;RIGHT(B144,LEN(B144)-2)</f>
        <v>Impact financier –   Nom de l'engagement</v>
      </c>
      <c r="C146" s="215"/>
      <c r="D146" s="216">
        <f>(D145/2)/25</f>
        <v>0</v>
      </c>
      <c r="E146" s="216">
        <f>(E145/2)/25+((D145)/25)</f>
        <v>0</v>
      </c>
      <c r="F146" s="216">
        <f>(F145/2)/25+((D145+E145)/25)</f>
        <v>0</v>
      </c>
      <c r="G146" s="216">
        <f>(G145/2)/25+((D145+E145+F145)/25)</f>
        <v>0</v>
      </c>
      <c r="H146" s="216">
        <f>(H145/2)/25+((D145+E145+F145+G145)/25)</f>
        <v>0</v>
      </c>
      <c r="I146" s="217"/>
      <c r="J146" s="218"/>
      <c r="K146" s="219" t="s">
        <v>221</v>
      </c>
      <c r="L146" s="212"/>
      <c r="M146" s="20"/>
    </row>
    <row r="147" spans="1:13" s="20" customFormat="1" ht="14.25" hidden="1" outlineLevel="1">
      <c r="B147" s="234" t="s">
        <v>233</v>
      </c>
      <c r="C147" s="235"/>
      <c r="D147" s="236"/>
      <c r="E147" s="236"/>
      <c r="F147" s="236"/>
      <c r="G147" s="236"/>
      <c r="H147" s="236"/>
      <c r="I147" s="237"/>
      <c r="J147" s="120"/>
      <c r="K147" s="233"/>
      <c r="L147" s="238"/>
    </row>
    <row r="148" spans="1:13" s="20" customFormat="1" ht="14.25" hidden="1" outlineLevel="1">
      <c r="B148" s="95" t="s">
        <v>419</v>
      </c>
      <c r="C148" s="10" t="s">
        <v>270</v>
      </c>
      <c r="D148" s="11">
        <v>0</v>
      </c>
      <c r="E148" s="11">
        <v>0</v>
      </c>
      <c r="F148" s="11">
        <v>0</v>
      </c>
      <c r="G148" s="11">
        <v>0</v>
      </c>
      <c r="H148" s="11">
        <v>0</v>
      </c>
      <c r="I148" s="93"/>
      <c r="J148" s="94"/>
      <c r="K148" s="242" t="str">
        <f>VLOOKUP($B148,Secteurs_PQI_OP,2,0)</f>
        <v>-- Choisir un secteur d'activité dans la colonne B --</v>
      </c>
      <c r="L148" s="96"/>
    </row>
    <row r="149" spans="1:13" s="213" customFormat="1" ht="15" hidden="1" outlineLevel="1">
      <c r="A149" s="20"/>
      <c r="B149" s="214" t="str">
        <f>"Impact financier – "&amp;RIGHT(B147,LEN(B147)-2)</f>
        <v>Impact financier –   Nom de l'engagement</v>
      </c>
      <c r="C149" s="215"/>
      <c r="D149" s="216">
        <f>(D148/2)/25</f>
        <v>0</v>
      </c>
      <c r="E149" s="216">
        <f>(E148/2)/25+((D148)/25)</f>
        <v>0</v>
      </c>
      <c r="F149" s="216">
        <f>(F148/2)/25+((D148+E148)/25)</f>
        <v>0</v>
      </c>
      <c r="G149" s="216">
        <f>(G148/2)/25+((D148+E148+F148)/25)</f>
        <v>0</v>
      </c>
      <c r="H149" s="216">
        <f>(H148/2)/25+((D148+E148+F148+G148)/25)</f>
        <v>0</v>
      </c>
      <c r="I149" s="217"/>
      <c r="J149" s="218"/>
      <c r="K149" s="219" t="s">
        <v>221</v>
      </c>
      <c r="L149" s="212"/>
      <c r="M149" s="20"/>
    </row>
    <row r="150" spans="1:13" s="20" customFormat="1" ht="14.25" hidden="1" outlineLevel="1">
      <c r="B150" s="234" t="s">
        <v>233</v>
      </c>
      <c r="C150" s="235"/>
      <c r="D150" s="236"/>
      <c r="E150" s="236"/>
      <c r="F150" s="236"/>
      <c r="G150" s="236"/>
      <c r="H150" s="236"/>
      <c r="I150" s="237"/>
      <c r="J150" s="120"/>
      <c r="K150" s="233"/>
      <c r="L150" s="238"/>
    </row>
    <row r="151" spans="1:13" s="20" customFormat="1" ht="14.25" hidden="1" outlineLevel="1">
      <c r="B151" s="95" t="s">
        <v>419</v>
      </c>
      <c r="C151" s="10" t="s">
        <v>270</v>
      </c>
      <c r="D151" s="11">
        <v>0</v>
      </c>
      <c r="E151" s="11">
        <v>0</v>
      </c>
      <c r="F151" s="11">
        <v>0</v>
      </c>
      <c r="G151" s="11">
        <v>0</v>
      </c>
      <c r="H151" s="11">
        <v>0</v>
      </c>
      <c r="I151" s="93"/>
      <c r="J151" s="94"/>
      <c r="K151" s="242" t="str">
        <f>VLOOKUP($B151,Secteurs_PQI_OP,2,0)</f>
        <v>-- Choisir un secteur d'activité dans la colonne B --</v>
      </c>
      <c r="L151" s="96"/>
    </row>
    <row r="152" spans="1:13" s="213" customFormat="1" ht="15" hidden="1" outlineLevel="1">
      <c r="A152" s="20"/>
      <c r="B152" s="214" t="str">
        <f>"Impact financier – "&amp;RIGHT(B150,LEN(B150)-2)</f>
        <v>Impact financier –   Nom de l'engagement</v>
      </c>
      <c r="C152" s="215"/>
      <c r="D152" s="216">
        <f>(D151/2)/25</f>
        <v>0</v>
      </c>
      <c r="E152" s="216">
        <f>(E151/2)/25+((D151)/25)</f>
        <v>0</v>
      </c>
      <c r="F152" s="216">
        <f>(F151/2)/25+((D151+E151)/25)</f>
        <v>0</v>
      </c>
      <c r="G152" s="216">
        <f>(G151/2)/25+((D151+E151+F151)/25)</f>
        <v>0</v>
      </c>
      <c r="H152" s="216">
        <f>(H151/2)/25+((D151+E151+F151+G151)/25)</f>
        <v>0</v>
      </c>
      <c r="I152" s="217"/>
      <c r="J152" s="218"/>
      <c r="K152" s="219" t="s">
        <v>221</v>
      </c>
      <c r="L152" s="212"/>
      <c r="M152" s="20"/>
    </row>
    <row r="153" spans="1:13" s="20" customFormat="1" ht="14.25" hidden="1" outlineLevel="1">
      <c r="B153" s="234" t="s">
        <v>233</v>
      </c>
      <c r="C153" s="235"/>
      <c r="D153" s="236"/>
      <c r="E153" s="236"/>
      <c r="F153" s="236"/>
      <c r="G153" s="236"/>
      <c r="H153" s="236"/>
      <c r="I153" s="237"/>
      <c r="J153" s="120"/>
      <c r="K153" s="233"/>
      <c r="L153" s="238"/>
    </row>
    <row r="154" spans="1:13" s="20" customFormat="1" ht="14.25" hidden="1" outlineLevel="1">
      <c r="B154" s="95" t="s">
        <v>419</v>
      </c>
      <c r="C154" s="10" t="s">
        <v>270</v>
      </c>
      <c r="D154" s="11">
        <v>0</v>
      </c>
      <c r="E154" s="11">
        <v>0</v>
      </c>
      <c r="F154" s="11">
        <v>0</v>
      </c>
      <c r="G154" s="11">
        <v>0</v>
      </c>
      <c r="H154" s="11">
        <v>0</v>
      </c>
      <c r="I154" s="93"/>
      <c r="J154" s="94"/>
      <c r="K154" s="242" t="str">
        <f>VLOOKUP($B154,Secteurs_PQI_OP,2,0)</f>
        <v>-- Choisir un secteur d'activité dans la colonne B --</v>
      </c>
      <c r="L154" s="96"/>
    </row>
    <row r="155" spans="1:13" s="213" customFormat="1" ht="15" hidden="1" outlineLevel="1">
      <c r="A155" s="20"/>
      <c r="B155" s="214" t="str">
        <f>"Impact financier – "&amp;RIGHT(B153,LEN(B153)-2)</f>
        <v>Impact financier –   Nom de l'engagement</v>
      </c>
      <c r="C155" s="215"/>
      <c r="D155" s="216">
        <f>(D154/2)/25</f>
        <v>0</v>
      </c>
      <c r="E155" s="216">
        <f>(E154/2)/25+((D154)/25)</f>
        <v>0</v>
      </c>
      <c r="F155" s="216">
        <f>(F154/2)/25+((D154+E154)/25)</f>
        <v>0</v>
      </c>
      <c r="G155" s="216">
        <f>(G154/2)/25+((D154+E154+F154)/25)</f>
        <v>0</v>
      </c>
      <c r="H155" s="216">
        <f>(H154/2)/25+((D154+E154+F154+G154)/25)</f>
        <v>0</v>
      </c>
      <c r="I155" s="217"/>
      <c r="J155" s="218"/>
      <c r="K155" s="219" t="s">
        <v>221</v>
      </c>
      <c r="L155" s="212"/>
      <c r="M155" s="20"/>
    </row>
    <row r="156" spans="1:13" s="20" customFormat="1" ht="14.25" hidden="1" outlineLevel="1">
      <c r="B156" s="234" t="s">
        <v>233</v>
      </c>
      <c r="C156" s="235"/>
      <c r="D156" s="236"/>
      <c r="E156" s="236"/>
      <c r="F156" s="236"/>
      <c r="G156" s="236"/>
      <c r="H156" s="236"/>
      <c r="I156" s="237"/>
      <c r="J156" s="120"/>
      <c r="K156" s="233"/>
      <c r="L156" s="238"/>
    </row>
    <row r="157" spans="1:13" s="20" customFormat="1" ht="14.25" hidden="1" outlineLevel="1">
      <c r="B157" s="95" t="s">
        <v>419</v>
      </c>
      <c r="C157" s="10" t="s">
        <v>270</v>
      </c>
      <c r="D157" s="11">
        <v>0</v>
      </c>
      <c r="E157" s="11">
        <v>0</v>
      </c>
      <c r="F157" s="11">
        <v>0</v>
      </c>
      <c r="G157" s="11">
        <v>0</v>
      </c>
      <c r="H157" s="11">
        <v>0</v>
      </c>
      <c r="I157" s="93"/>
      <c r="J157" s="94"/>
      <c r="K157" s="242" t="str">
        <f>VLOOKUP($B157,Secteurs_PQI_OP,2,0)</f>
        <v>-- Choisir un secteur d'activité dans la colonne B --</v>
      </c>
      <c r="L157" s="96"/>
    </row>
    <row r="158" spans="1:13" s="213" customFormat="1" ht="15" hidden="1" outlineLevel="1">
      <c r="A158" s="20"/>
      <c r="B158" s="214" t="str">
        <f>"Impact financier – "&amp;RIGHT(B156,LEN(B156)-2)</f>
        <v>Impact financier –   Nom de l'engagement</v>
      </c>
      <c r="C158" s="215"/>
      <c r="D158" s="216">
        <f>(D157/2)/25</f>
        <v>0</v>
      </c>
      <c r="E158" s="216">
        <f>(E157/2)/25+((D157)/25)</f>
        <v>0</v>
      </c>
      <c r="F158" s="216">
        <f>(F157/2)/25+((D157+E157)/25)</f>
        <v>0</v>
      </c>
      <c r="G158" s="216">
        <f>(G157/2)/25+((D157+E157+F157)/25)</f>
        <v>0</v>
      </c>
      <c r="H158" s="216">
        <f>(H157/2)/25+((D157+E157+F157+G157)/25)</f>
        <v>0</v>
      </c>
      <c r="I158" s="217"/>
      <c r="J158" s="218"/>
      <c r="K158" s="219" t="s">
        <v>221</v>
      </c>
      <c r="L158" s="212"/>
      <c r="M158" s="20"/>
    </row>
    <row r="159" spans="1:13" s="20" customFormat="1" ht="14.25" hidden="1" outlineLevel="1">
      <c r="B159" s="234" t="s">
        <v>233</v>
      </c>
      <c r="C159" s="235"/>
      <c r="D159" s="236"/>
      <c r="E159" s="236"/>
      <c r="F159" s="236"/>
      <c r="G159" s="236"/>
      <c r="H159" s="236"/>
      <c r="I159" s="237"/>
      <c r="J159" s="120"/>
      <c r="K159" s="233"/>
      <c r="L159" s="238"/>
    </row>
    <row r="160" spans="1:13" s="20" customFormat="1" ht="14.25" hidden="1" outlineLevel="1">
      <c r="B160" s="95" t="s">
        <v>419</v>
      </c>
      <c r="C160" s="10" t="s">
        <v>270</v>
      </c>
      <c r="D160" s="11">
        <v>0</v>
      </c>
      <c r="E160" s="11">
        <v>0</v>
      </c>
      <c r="F160" s="11">
        <v>0</v>
      </c>
      <c r="G160" s="11">
        <v>0</v>
      </c>
      <c r="H160" s="11">
        <v>0</v>
      </c>
      <c r="I160" s="93"/>
      <c r="J160" s="94"/>
      <c r="K160" s="242" t="str">
        <f>VLOOKUP($B160,Secteurs_PQI_OP,2,0)</f>
        <v>-- Choisir un secteur d'activité dans la colonne B --</v>
      </c>
      <c r="L160" s="96"/>
    </row>
    <row r="161" spans="1:13" s="213" customFormat="1" ht="15" hidden="1" outlineLevel="1">
      <c r="A161" s="20"/>
      <c r="B161" s="214" t="str">
        <f>"Impact financier – "&amp;RIGHT(B159,LEN(B159)-2)</f>
        <v>Impact financier –   Nom de l'engagement</v>
      </c>
      <c r="C161" s="215"/>
      <c r="D161" s="216">
        <f>(D160/2)/25</f>
        <v>0</v>
      </c>
      <c r="E161" s="216">
        <f>(E160/2)/25+((D160)/25)</f>
        <v>0</v>
      </c>
      <c r="F161" s="216">
        <f>(F160/2)/25+((D160+E160)/25)</f>
        <v>0</v>
      </c>
      <c r="G161" s="216">
        <f>(G160/2)/25+((D160+E160+F160)/25)</f>
        <v>0</v>
      </c>
      <c r="H161" s="216">
        <f>(H160/2)/25+((D160+E160+F160+G160)/25)</f>
        <v>0</v>
      </c>
      <c r="I161" s="217"/>
      <c r="J161" s="218"/>
      <c r="K161" s="219" t="s">
        <v>221</v>
      </c>
      <c r="L161" s="212"/>
      <c r="M161" s="20"/>
    </row>
    <row r="162" spans="1:13" s="20" customFormat="1" ht="14.25" hidden="1" outlineLevel="1">
      <c r="B162" s="234" t="s">
        <v>233</v>
      </c>
      <c r="C162" s="235"/>
      <c r="D162" s="236"/>
      <c r="E162" s="236"/>
      <c r="F162" s="236"/>
      <c r="G162" s="236"/>
      <c r="H162" s="236"/>
      <c r="I162" s="237"/>
      <c r="J162" s="120"/>
      <c r="K162" s="233"/>
      <c r="L162" s="238"/>
    </row>
    <row r="163" spans="1:13" s="20" customFormat="1" ht="14.25" hidden="1" outlineLevel="1">
      <c r="B163" s="95" t="s">
        <v>419</v>
      </c>
      <c r="C163" s="10" t="s">
        <v>270</v>
      </c>
      <c r="D163" s="11">
        <v>0</v>
      </c>
      <c r="E163" s="11">
        <v>0</v>
      </c>
      <c r="F163" s="11">
        <v>0</v>
      </c>
      <c r="G163" s="11">
        <v>0</v>
      </c>
      <c r="H163" s="11">
        <v>0</v>
      </c>
      <c r="I163" s="93"/>
      <c r="J163" s="94"/>
      <c r="K163" s="242" t="str">
        <f>VLOOKUP($B163,Secteurs_PQI_OP,2,0)</f>
        <v>-- Choisir un secteur d'activité dans la colonne B --</v>
      </c>
      <c r="L163" s="96"/>
    </row>
    <row r="164" spans="1:13" s="213" customFormat="1" ht="15" hidden="1" outlineLevel="1">
      <c r="A164" s="20"/>
      <c r="B164" s="214" t="str">
        <f>"Impact financier – "&amp;RIGHT(B162,LEN(B162)-2)</f>
        <v>Impact financier –   Nom de l'engagement</v>
      </c>
      <c r="C164" s="215"/>
      <c r="D164" s="216">
        <f>(D163/2)/25</f>
        <v>0</v>
      </c>
      <c r="E164" s="216">
        <f>(E163/2)/25+((D163)/25)</f>
        <v>0</v>
      </c>
      <c r="F164" s="216">
        <f>(F163/2)/25+((D163+E163)/25)</f>
        <v>0</v>
      </c>
      <c r="G164" s="216">
        <f>(G163/2)/25+((D163+E163+F163)/25)</f>
        <v>0</v>
      </c>
      <c r="H164" s="216">
        <f>(H163/2)/25+((D163+E163+F163+G163)/25)</f>
        <v>0</v>
      </c>
      <c r="I164" s="217"/>
      <c r="J164" s="218"/>
      <c r="K164" s="219" t="s">
        <v>221</v>
      </c>
      <c r="L164" s="212"/>
      <c r="M164" s="20"/>
    </row>
    <row r="165" spans="1:13" s="20" customFormat="1" ht="14.25" hidden="1" outlineLevel="1">
      <c r="B165" s="234" t="s">
        <v>233</v>
      </c>
      <c r="C165" s="235"/>
      <c r="D165" s="236"/>
      <c r="E165" s="236"/>
      <c r="F165" s="236"/>
      <c r="G165" s="236"/>
      <c r="H165" s="236"/>
      <c r="I165" s="237"/>
      <c r="J165" s="120"/>
      <c r="K165" s="233"/>
      <c r="L165" s="238"/>
    </row>
    <row r="166" spans="1:13" s="20" customFormat="1" ht="14.25" hidden="1" outlineLevel="1">
      <c r="B166" s="95" t="s">
        <v>419</v>
      </c>
      <c r="C166" s="10" t="s">
        <v>270</v>
      </c>
      <c r="D166" s="11">
        <v>0</v>
      </c>
      <c r="E166" s="11">
        <v>0</v>
      </c>
      <c r="F166" s="11">
        <v>0</v>
      </c>
      <c r="G166" s="11">
        <v>0</v>
      </c>
      <c r="H166" s="11">
        <v>0</v>
      </c>
      <c r="I166" s="93"/>
      <c r="J166" s="94"/>
      <c r="K166" s="242" t="str">
        <f>VLOOKUP($B166,Secteurs_PQI_OP,2,0)</f>
        <v>-- Choisir un secteur d'activité dans la colonne B --</v>
      </c>
      <c r="L166" s="96"/>
    </row>
    <row r="167" spans="1:13" s="213" customFormat="1" ht="15" hidden="1" outlineLevel="1">
      <c r="A167" s="20"/>
      <c r="B167" s="214" t="str">
        <f>"Impact financier – "&amp;RIGHT(B165,LEN(B165)-2)</f>
        <v>Impact financier –   Nom de l'engagement</v>
      </c>
      <c r="C167" s="215"/>
      <c r="D167" s="216">
        <f>(D166/2)/25</f>
        <v>0</v>
      </c>
      <c r="E167" s="216">
        <f>(E166/2)/25+((D166)/25)</f>
        <v>0</v>
      </c>
      <c r="F167" s="216">
        <f>(F166/2)/25+((D166+E166)/25)</f>
        <v>0</v>
      </c>
      <c r="G167" s="216">
        <f>(G166/2)/25+((D166+E166+F166)/25)</f>
        <v>0</v>
      </c>
      <c r="H167" s="216">
        <f>(H166/2)/25+((D166+E166+F166+G166)/25)</f>
        <v>0</v>
      </c>
      <c r="I167" s="217"/>
      <c r="J167" s="218"/>
      <c r="K167" s="219" t="s">
        <v>221</v>
      </c>
      <c r="L167" s="212"/>
      <c r="M167" s="20"/>
    </row>
    <row r="168" spans="1:13" s="20" customFormat="1" ht="14.25" hidden="1" outlineLevel="1">
      <c r="B168" s="234" t="s">
        <v>233</v>
      </c>
      <c r="C168" s="235"/>
      <c r="D168" s="236"/>
      <c r="E168" s="236"/>
      <c r="F168" s="236"/>
      <c r="G168" s="236"/>
      <c r="H168" s="236"/>
      <c r="I168" s="237"/>
      <c r="J168" s="120"/>
      <c r="K168" s="233"/>
      <c r="L168" s="238"/>
    </row>
    <row r="169" spans="1:13" s="20" customFormat="1" ht="14.25" hidden="1" outlineLevel="1">
      <c r="B169" s="95" t="s">
        <v>419</v>
      </c>
      <c r="C169" s="10" t="s">
        <v>270</v>
      </c>
      <c r="D169" s="11">
        <v>0</v>
      </c>
      <c r="E169" s="11">
        <v>0</v>
      </c>
      <c r="F169" s="11">
        <v>0</v>
      </c>
      <c r="G169" s="11">
        <v>0</v>
      </c>
      <c r="H169" s="11">
        <v>0</v>
      </c>
      <c r="I169" s="93"/>
      <c r="J169" s="94"/>
      <c r="K169" s="242" t="str">
        <f>VLOOKUP($B169,Secteurs_PQI_OP,2,0)</f>
        <v>-- Choisir un secteur d'activité dans la colonne B --</v>
      </c>
      <c r="L169" s="96"/>
    </row>
    <row r="170" spans="1:13" s="213" customFormat="1" ht="15" hidden="1" outlineLevel="1">
      <c r="A170" s="20"/>
      <c r="B170" s="214" t="str">
        <f>"Impact financier – "&amp;RIGHT(B168,LEN(B168)-2)</f>
        <v>Impact financier –   Nom de l'engagement</v>
      </c>
      <c r="C170" s="215"/>
      <c r="D170" s="216">
        <f>(D169/2)/25</f>
        <v>0</v>
      </c>
      <c r="E170" s="216">
        <f>(E169/2)/25+((D169)/25)</f>
        <v>0</v>
      </c>
      <c r="F170" s="216">
        <f>(F169/2)/25+((D169+E169)/25)</f>
        <v>0</v>
      </c>
      <c r="G170" s="216">
        <f>(G169/2)/25+((D169+E169+F169)/25)</f>
        <v>0</v>
      </c>
      <c r="H170" s="216">
        <f>(H169/2)/25+((D169+E169+F169+G169)/25)</f>
        <v>0</v>
      </c>
      <c r="I170" s="217"/>
      <c r="J170" s="218"/>
      <c r="K170" s="219" t="s">
        <v>221</v>
      </c>
      <c r="L170" s="212"/>
      <c r="M170" s="20"/>
    </row>
    <row r="171" spans="1:13" s="20" customFormat="1" ht="14.25" hidden="1" outlineLevel="1">
      <c r="B171" s="234" t="s">
        <v>233</v>
      </c>
      <c r="C171" s="235"/>
      <c r="D171" s="236"/>
      <c r="E171" s="236"/>
      <c r="F171" s="236"/>
      <c r="G171" s="236"/>
      <c r="H171" s="236"/>
      <c r="I171" s="237"/>
      <c r="J171" s="120"/>
      <c r="K171" s="233"/>
      <c r="L171" s="238"/>
    </row>
    <row r="172" spans="1:13" s="20" customFormat="1" ht="14.25" hidden="1" outlineLevel="1">
      <c r="B172" s="95" t="s">
        <v>419</v>
      </c>
      <c r="C172" s="10" t="s">
        <v>270</v>
      </c>
      <c r="D172" s="11">
        <v>0</v>
      </c>
      <c r="E172" s="11">
        <v>0</v>
      </c>
      <c r="F172" s="11">
        <v>0</v>
      </c>
      <c r="G172" s="11">
        <v>0</v>
      </c>
      <c r="H172" s="11">
        <v>0</v>
      </c>
      <c r="I172" s="93"/>
      <c r="J172" s="94"/>
      <c r="K172" s="242" t="str">
        <f>VLOOKUP($B172,Secteurs_PQI_OP,2,0)</f>
        <v>-- Choisir un secteur d'activité dans la colonne B --</v>
      </c>
      <c r="L172" s="96"/>
    </row>
    <row r="173" spans="1:13" s="213" customFormat="1" ht="15" hidden="1" outlineLevel="1">
      <c r="A173" s="20"/>
      <c r="B173" s="214" t="str">
        <f>"Impact financier – "&amp;RIGHT(B171,LEN(B171)-2)</f>
        <v>Impact financier –   Nom de l'engagement</v>
      </c>
      <c r="C173" s="215"/>
      <c r="D173" s="216">
        <f>(D172/2)/25</f>
        <v>0</v>
      </c>
      <c r="E173" s="216">
        <f>(E172/2)/25+((D172)/25)</f>
        <v>0</v>
      </c>
      <c r="F173" s="216">
        <f>(F172/2)/25+((D172+E172)/25)</f>
        <v>0</v>
      </c>
      <c r="G173" s="216">
        <f>(G172/2)/25+((D172+E172+F172)/25)</f>
        <v>0</v>
      </c>
      <c r="H173" s="216">
        <f>(H172/2)/25+((D172+E172+F172+G172)/25)</f>
        <v>0</v>
      </c>
      <c r="I173" s="217"/>
      <c r="J173" s="218"/>
      <c r="K173" s="219" t="s">
        <v>221</v>
      </c>
      <c r="L173" s="212"/>
      <c r="M173" s="20"/>
    </row>
    <row r="174" spans="1:13" s="20" customFormat="1" ht="14.25" hidden="1" outlineLevel="1">
      <c r="B174" s="234" t="s">
        <v>233</v>
      </c>
      <c r="C174" s="235"/>
      <c r="D174" s="236"/>
      <c r="E174" s="236"/>
      <c r="F174" s="236"/>
      <c r="G174" s="236"/>
      <c r="H174" s="236"/>
      <c r="I174" s="237"/>
      <c r="J174" s="120"/>
      <c r="K174" s="233"/>
      <c r="L174" s="238"/>
    </row>
    <row r="175" spans="1:13" s="20" customFormat="1" ht="14.25" hidden="1" outlineLevel="1">
      <c r="B175" s="95" t="s">
        <v>419</v>
      </c>
      <c r="C175" s="10" t="s">
        <v>270</v>
      </c>
      <c r="D175" s="11">
        <v>0</v>
      </c>
      <c r="E175" s="11">
        <v>0</v>
      </c>
      <c r="F175" s="11">
        <v>0</v>
      </c>
      <c r="G175" s="11">
        <v>0</v>
      </c>
      <c r="H175" s="11">
        <v>0</v>
      </c>
      <c r="I175" s="93"/>
      <c r="J175" s="94"/>
      <c r="K175" s="242" t="str">
        <f>VLOOKUP($B175,Secteurs_PQI_OP,2,0)</f>
        <v>-- Choisir un secteur d'activité dans la colonne B --</v>
      </c>
      <c r="L175" s="96"/>
    </row>
    <row r="176" spans="1:13" s="213" customFormat="1" ht="15" hidden="1" outlineLevel="1">
      <c r="A176" s="20"/>
      <c r="B176" s="214" t="str">
        <f>"Impact financier – "&amp;RIGHT(B174,LEN(B174)-2)</f>
        <v>Impact financier –   Nom de l'engagement</v>
      </c>
      <c r="C176" s="215"/>
      <c r="D176" s="216">
        <f>(D175/2)/25</f>
        <v>0</v>
      </c>
      <c r="E176" s="216">
        <f>(E175/2)/25+((D175)/25)</f>
        <v>0</v>
      </c>
      <c r="F176" s="216">
        <f>(F175/2)/25+((D175+E175)/25)</f>
        <v>0</v>
      </c>
      <c r="G176" s="216">
        <f>(G175/2)/25+((D175+E175+F175)/25)</f>
        <v>0</v>
      </c>
      <c r="H176" s="216">
        <f>(H175/2)/25+((D175+E175+F175+G175)/25)</f>
        <v>0</v>
      </c>
      <c r="I176" s="217"/>
      <c r="J176" s="218"/>
      <c r="K176" s="219" t="s">
        <v>221</v>
      </c>
      <c r="L176" s="212"/>
      <c r="M176" s="20"/>
    </row>
    <row r="177" spans="1:13" s="20" customFormat="1" ht="14.25" hidden="1" outlineLevel="1">
      <c r="B177" s="234" t="s">
        <v>233</v>
      </c>
      <c r="C177" s="235"/>
      <c r="D177" s="236"/>
      <c r="E177" s="236"/>
      <c r="F177" s="236"/>
      <c r="G177" s="236"/>
      <c r="H177" s="236"/>
      <c r="I177" s="237"/>
      <c r="J177" s="120"/>
      <c r="K177" s="233"/>
      <c r="L177" s="238"/>
    </row>
    <row r="178" spans="1:13" s="20" customFormat="1" ht="14.25" hidden="1" outlineLevel="1">
      <c r="B178" s="95" t="s">
        <v>419</v>
      </c>
      <c r="C178" s="10" t="s">
        <v>270</v>
      </c>
      <c r="D178" s="11">
        <v>0</v>
      </c>
      <c r="E178" s="11">
        <v>0</v>
      </c>
      <c r="F178" s="11">
        <v>0</v>
      </c>
      <c r="G178" s="11">
        <v>0</v>
      </c>
      <c r="H178" s="11">
        <v>0</v>
      </c>
      <c r="I178" s="93"/>
      <c r="J178" s="94"/>
      <c r="K178" s="242" t="str">
        <f>VLOOKUP($B178,Secteurs_PQI_OP,2,0)</f>
        <v>-- Choisir un secteur d'activité dans la colonne B --</v>
      </c>
      <c r="L178" s="96"/>
    </row>
    <row r="179" spans="1:13" s="213" customFormat="1" ht="15" hidden="1" outlineLevel="1">
      <c r="A179" s="20"/>
      <c r="B179" s="214" t="str">
        <f>"Impact financier – "&amp;RIGHT(B177,LEN(B177)-2)</f>
        <v>Impact financier –   Nom de l'engagement</v>
      </c>
      <c r="C179" s="215"/>
      <c r="D179" s="216">
        <f>(D178/2)/25</f>
        <v>0</v>
      </c>
      <c r="E179" s="216">
        <f>(E178/2)/25+((D178)/25)</f>
        <v>0</v>
      </c>
      <c r="F179" s="216">
        <f>(F178/2)/25+((D178+E178)/25)</f>
        <v>0</v>
      </c>
      <c r="G179" s="216">
        <f>(G178/2)/25+((D178+E178+F178)/25)</f>
        <v>0</v>
      </c>
      <c r="H179" s="216">
        <f>(H178/2)/25+((D178+E178+F178+G178)/25)</f>
        <v>0</v>
      </c>
      <c r="I179" s="217"/>
      <c r="J179" s="218"/>
      <c r="K179" s="219" t="s">
        <v>221</v>
      </c>
      <c r="L179" s="212"/>
      <c r="M179" s="20"/>
    </row>
    <row r="180" spans="1:13" s="20" customFormat="1" ht="14.25" hidden="1" outlineLevel="1">
      <c r="B180" s="234" t="s">
        <v>233</v>
      </c>
      <c r="C180" s="235"/>
      <c r="D180" s="236"/>
      <c r="E180" s="236"/>
      <c r="F180" s="236"/>
      <c r="G180" s="236"/>
      <c r="H180" s="236"/>
      <c r="I180" s="237"/>
      <c r="J180" s="120"/>
      <c r="K180" s="233"/>
      <c r="L180" s="238"/>
    </row>
    <row r="181" spans="1:13" s="20" customFormat="1" ht="14.25" hidden="1" outlineLevel="1">
      <c r="B181" s="95" t="s">
        <v>419</v>
      </c>
      <c r="C181" s="10" t="s">
        <v>270</v>
      </c>
      <c r="D181" s="11">
        <v>0</v>
      </c>
      <c r="E181" s="11">
        <v>0</v>
      </c>
      <c r="F181" s="11">
        <v>0</v>
      </c>
      <c r="G181" s="11">
        <v>0</v>
      </c>
      <c r="H181" s="11">
        <v>0</v>
      </c>
      <c r="I181" s="93"/>
      <c r="J181" s="94"/>
      <c r="K181" s="242" t="str">
        <f>VLOOKUP($B181,Secteurs_PQI_OP,2,0)</f>
        <v>-- Choisir un secteur d'activité dans la colonne B --</v>
      </c>
      <c r="L181" s="96"/>
    </row>
    <row r="182" spans="1:13" s="213" customFormat="1" ht="15" hidden="1" outlineLevel="1">
      <c r="A182" s="20"/>
      <c r="B182" s="214" t="str">
        <f>"Impact financier – "&amp;RIGHT(B180,LEN(B180)-2)</f>
        <v>Impact financier –   Nom de l'engagement</v>
      </c>
      <c r="C182" s="215"/>
      <c r="D182" s="216">
        <f>(D181/2)/25</f>
        <v>0</v>
      </c>
      <c r="E182" s="216">
        <f>(E181/2)/25+((D181)/25)</f>
        <v>0</v>
      </c>
      <c r="F182" s="216">
        <f>(F181/2)/25+((D181+E181)/25)</f>
        <v>0</v>
      </c>
      <c r="G182" s="216">
        <f>(G181/2)/25+((D181+E181+F181)/25)</f>
        <v>0</v>
      </c>
      <c r="H182" s="216">
        <f>(H181/2)/25+((D181+E181+F181+G181)/25)</f>
        <v>0</v>
      </c>
      <c r="I182" s="217"/>
      <c r="J182" s="218"/>
      <c r="K182" s="219" t="s">
        <v>221</v>
      </c>
      <c r="L182" s="212"/>
      <c r="M182" s="20"/>
    </row>
    <row r="183" spans="1:13" s="20" customFormat="1" ht="14.25" hidden="1" outlineLevel="1">
      <c r="B183" s="234" t="s">
        <v>233</v>
      </c>
      <c r="C183" s="235"/>
      <c r="D183" s="236"/>
      <c r="E183" s="236"/>
      <c r="F183" s="236"/>
      <c r="G183" s="236"/>
      <c r="H183" s="236"/>
      <c r="I183" s="237"/>
      <c r="J183" s="120"/>
      <c r="K183" s="233"/>
      <c r="L183" s="238"/>
    </row>
    <row r="184" spans="1:13" s="20" customFormat="1" ht="14.25" hidden="1" outlineLevel="1">
      <c r="B184" s="95" t="s">
        <v>419</v>
      </c>
      <c r="C184" s="10" t="s">
        <v>270</v>
      </c>
      <c r="D184" s="11">
        <v>0</v>
      </c>
      <c r="E184" s="11">
        <v>0</v>
      </c>
      <c r="F184" s="11">
        <v>0</v>
      </c>
      <c r="G184" s="11">
        <v>0</v>
      </c>
      <c r="H184" s="11">
        <v>0</v>
      </c>
      <c r="I184" s="93"/>
      <c r="J184" s="94"/>
      <c r="K184" s="242" t="str">
        <f>VLOOKUP($B184,Secteurs_PQI_OP,2,0)</f>
        <v>-- Choisir un secteur d'activité dans la colonne B --</v>
      </c>
      <c r="L184" s="96"/>
    </row>
    <row r="185" spans="1:13" s="213" customFormat="1" ht="15" hidden="1" outlineLevel="1">
      <c r="A185" s="20"/>
      <c r="B185" s="214" t="str">
        <f>"Impact financier – "&amp;RIGHT(B183,LEN(B183)-2)</f>
        <v>Impact financier –   Nom de l'engagement</v>
      </c>
      <c r="C185" s="215"/>
      <c r="D185" s="216">
        <f>(D184/2)/25</f>
        <v>0</v>
      </c>
      <c r="E185" s="216">
        <f>(E184/2)/25+((D184)/25)</f>
        <v>0</v>
      </c>
      <c r="F185" s="216">
        <f>(F184/2)/25+((D184+E184)/25)</f>
        <v>0</v>
      </c>
      <c r="G185" s="216">
        <f>(G184/2)/25+((D184+E184+F184)/25)</f>
        <v>0</v>
      </c>
      <c r="H185" s="216">
        <f>(H184/2)/25+((D184+E184+F184+G184)/25)</f>
        <v>0</v>
      </c>
      <c r="I185" s="217"/>
      <c r="J185" s="218"/>
      <c r="K185" s="219" t="s">
        <v>221</v>
      </c>
      <c r="L185" s="212"/>
      <c r="M185" s="20"/>
    </row>
    <row r="186" spans="1:13" s="20" customFormat="1" ht="14.25" hidden="1" outlineLevel="1">
      <c r="B186" s="234" t="s">
        <v>233</v>
      </c>
      <c r="C186" s="235"/>
      <c r="D186" s="236"/>
      <c r="E186" s="236"/>
      <c r="F186" s="236"/>
      <c r="G186" s="236"/>
      <c r="H186" s="236"/>
      <c r="I186" s="237"/>
      <c r="J186" s="120"/>
      <c r="K186" s="233"/>
      <c r="L186" s="238"/>
    </row>
    <row r="187" spans="1:13" s="20" customFormat="1" ht="14.25" hidden="1" outlineLevel="1">
      <c r="B187" s="95" t="s">
        <v>419</v>
      </c>
      <c r="C187" s="10" t="s">
        <v>270</v>
      </c>
      <c r="D187" s="11">
        <v>0</v>
      </c>
      <c r="E187" s="11">
        <v>0</v>
      </c>
      <c r="F187" s="11">
        <v>0</v>
      </c>
      <c r="G187" s="11">
        <v>0</v>
      </c>
      <c r="H187" s="11">
        <v>0</v>
      </c>
      <c r="I187" s="93"/>
      <c r="J187" s="94"/>
      <c r="K187" s="242" t="str">
        <f>VLOOKUP($B187,Secteurs_PQI_OP,2,0)</f>
        <v>-- Choisir un secteur d'activité dans la colonne B --</v>
      </c>
      <c r="L187" s="96"/>
    </row>
    <row r="188" spans="1:13" s="213" customFormat="1" ht="15" hidden="1" outlineLevel="1">
      <c r="A188" s="20"/>
      <c r="B188" s="214" t="str">
        <f>"Impact financier – "&amp;RIGHT(B186,LEN(B186)-2)</f>
        <v>Impact financier –   Nom de l'engagement</v>
      </c>
      <c r="C188" s="215"/>
      <c r="D188" s="216">
        <f>(D187/2)/25</f>
        <v>0</v>
      </c>
      <c r="E188" s="216">
        <f>(E187/2)/25+((D187)/25)</f>
        <v>0</v>
      </c>
      <c r="F188" s="216">
        <f>(F187/2)/25+((D187+E187)/25)</f>
        <v>0</v>
      </c>
      <c r="G188" s="216">
        <f>(G187/2)/25+((D187+E187+F187)/25)</f>
        <v>0</v>
      </c>
      <c r="H188" s="216">
        <f>(H187/2)/25+((D187+E187+F187+G187)/25)</f>
        <v>0</v>
      </c>
      <c r="I188" s="217"/>
      <c r="J188" s="218"/>
      <c r="K188" s="219" t="s">
        <v>221</v>
      </c>
      <c r="L188" s="212"/>
      <c r="M188" s="20"/>
    </row>
    <row r="189" spans="1:13" s="20" customFormat="1" ht="14.25" hidden="1" outlineLevel="1">
      <c r="B189" s="234" t="s">
        <v>233</v>
      </c>
      <c r="C189" s="235"/>
      <c r="D189" s="236"/>
      <c r="E189" s="236"/>
      <c r="F189" s="236"/>
      <c r="G189" s="236"/>
      <c r="H189" s="236"/>
      <c r="I189" s="237"/>
      <c r="J189" s="120"/>
      <c r="K189" s="233"/>
      <c r="L189" s="238"/>
    </row>
    <row r="190" spans="1:13" s="20" customFormat="1" ht="14.25" hidden="1" outlineLevel="1">
      <c r="B190" s="95" t="s">
        <v>419</v>
      </c>
      <c r="C190" s="10" t="s">
        <v>270</v>
      </c>
      <c r="D190" s="11">
        <v>0</v>
      </c>
      <c r="E190" s="11">
        <v>0</v>
      </c>
      <c r="F190" s="11">
        <v>0</v>
      </c>
      <c r="G190" s="11">
        <v>0</v>
      </c>
      <c r="H190" s="11">
        <v>0</v>
      </c>
      <c r="I190" s="93"/>
      <c r="J190" s="94"/>
      <c r="K190" s="242" t="str">
        <f>VLOOKUP($B190,Secteurs_PQI_OP,2,0)</f>
        <v>-- Choisir un secteur d'activité dans la colonne B --</v>
      </c>
      <c r="L190" s="96"/>
    </row>
    <row r="191" spans="1:13" s="213" customFormat="1" ht="15" hidden="1" outlineLevel="1">
      <c r="A191" s="20"/>
      <c r="B191" s="214" t="str">
        <f>"Impact financier – "&amp;RIGHT(B189,LEN(B189)-2)</f>
        <v>Impact financier –   Nom de l'engagement</v>
      </c>
      <c r="C191" s="215"/>
      <c r="D191" s="216">
        <f>(D190/2)/25</f>
        <v>0</v>
      </c>
      <c r="E191" s="216">
        <f>(E190/2)/25+((D190)/25)</f>
        <v>0</v>
      </c>
      <c r="F191" s="216">
        <f>(F190/2)/25+((D190+E190)/25)</f>
        <v>0</v>
      </c>
      <c r="G191" s="216">
        <f>(G190/2)/25+((D190+E190+F190)/25)</f>
        <v>0</v>
      </c>
      <c r="H191" s="216">
        <f>(H190/2)/25+((D190+E190+F190+G190)/25)</f>
        <v>0</v>
      </c>
      <c r="I191" s="217"/>
      <c r="J191" s="218"/>
      <c r="K191" s="219" t="s">
        <v>221</v>
      </c>
      <c r="L191" s="212"/>
      <c r="M191" s="20"/>
    </row>
    <row r="192" spans="1:13" s="20" customFormat="1" ht="14.25" hidden="1" outlineLevel="1">
      <c r="B192" s="234" t="s">
        <v>233</v>
      </c>
      <c r="C192" s="235"/>
      <c r="D192" s="236"/>
      <c r="E192" s="236"/>
      <c r="F192" s="236"/>
      <c r="G192" s="236"/>
      <c r="H192" s="236"/>
      <c r="I192" s="237"/>
      <c r="J192" s="120"/>
      <c r="K192" s="233"/>
      <c r="L192" s="238"/>
    </row>
    <row r="193" spans="1:13" s="20" customFormat="1" ht="14.25" hidden="1" outlineLevel="1">
      <c r="B193" s="95" t="s">
        <v>419</v>
      </c>
      <c r="C193" s="10" t="s">
        <v>270</v>
      </c>
      <c r="D193" s="11">
        <v>0</v>
      </c>
      <c r="E193" s="11">
        <v>0</v>
      </c>
      <c r="F193" s="11">
        <v>0</v>
      </c>
      <c r="G193" s="11">
        <v>0</v>
      </c>
      <c r="H193" s="11">
        <v>0</v>
      </c>
      <c r="I193" s="93"/>
      <c r="J193" s="94"/>
      <c r="K193" s="242" t="str">
        <f>VLOOKUP($B193,Secteurs_PQI_OP,2,0)</f>
        <v>-- Choisir un secteur d'activité dans la colonne B --</v>
      </c>
      <c r="L193" s="96"/>
    </row>
    <row r="194" spans="1:13" s="213" customFormat="1" ht="15" hidden="1" outlineLevel="1">
      <c r="A194" s="20"/>
      <c r="B194" s="214" t="str">
        <f>"Impact financier – "&amp;RIGHT(B192,LEN(B192)-2)</f>
        <v>Impact financier –   Nom de l'engagement</v>
      </c>
      <c r="C194" s="215"/>
      <c r="D194" s="216">
        <f>(D193/2)/25</f>
        <v>0</v>
      </c>
      <c r="E194" s="216">
        <f>(E193/2)/25+((D193)/25)</f>
        <v>0</v>
      </c>
      <c r="F194" s="216">
        <f>(F193/2)/25+((D193+E193)/25)</f>
        <v>0</v>
      </c>
      <c r="G194" s="216">
        <f>(G193/2)/25+((D193+E193+F193)/25)</f>
        <v>0</v>
      </c>
      <c r="H194" s="216">
        <f>(H193/2)/25+((D193+E193+F193+G193)/25)</f>
        <v>0</v>
      </c>
      <c r="I194" s="217"/>
      <c r="J194" s="218"/>
      <c r="K194" s="219" t="s">
        <v>221</v>
      </c>
      <c r="L194" s="212"/>
      <c r="M194" s="20"/>
    </row>
    <row r="195" spans="1:13" s="20" customFormat="1" ht="14.25" hidden="1" outlineLevel="1">
      <c r="B195" s="234" t="s">
        <v>233</v>
      </c>
      <c r="C195" s="235"/>
      <c r="D195" s="236"/>
      <c r="E195" s="236"/>
      <c r="F195" s="236"/>
      <c r="G195" s="236"/>
      <c r="H195" s="236"/>
      <c r="I195" s="237"/>
      <c r="J195" s="120"/>
      <c r="K195" s="233"/>
      <c r="L195" s="238"/>
    </row>
    <row r="196" spans="1:13" s="20" customFormat="1" ht="14.25" hidden="1" outlineLevel="1">
      <c r="B196" s="95" t="s">
        <v>419</v>
      </c>
      <c r="C196" s="10" t="s">
        <v>270</v>
      </c>
      <c r="D196" s="11">
        <v>0</v>
      </c>
      <c r="E196" s="11">
        <v>0</v>
      </c>
      <c r="F196" s="11">
        <v>0</v>
      </c>
      <c r="G196" s="11">
        <v>0</v>
      </c>
      <c r="H196" s="11">
        <v>0</v>
      </c>
      <c r="I196" s="93"/>
      <c r="J196" s="94"/>
      <c r="K196" s="242" t="str">
        <f>VLOOKUP($B196,Secteurs_PQI_OP,2,0)</f>
        <v>-- Choisir un secteur d'activité dans la colonne B --</v>
      </c>
      <c r="L196" s="96"/>
    </row>
    <row r="197" spans="1:13" s="213" customFormat="1" ht="15" hidden="1" outlineLevel="1">
      <c r="A197" s="20"/>
      <c r="B197" s="214" t="str">
        <f>"Impact financier – "&amp;RIGHT(B195,LEN(B195)-2)</f>
        <v>Impact financier –   Nom de l'engagement</v>
      </c>
      <c r="C197" s="215"/>
      <c r="D197" s="216">
        <f>(D196/2)/25</f>
        <v>0</v>
      </c>
      <c r="E197" s="216">
        <f>(E196/2)/25+((D196)/25)</f>
        <v>0</v>
      </c>
      <c r="F197" s="216">
        <f>(F196/2)/25+((D196+E196)/25)</f>
        <v>0</v>
      </c>
      <c r="G197" s="216">
        <f>(G196/2)/25+((D196+E196+F196)/25)</f>
        <v>0</v>
      </c>
      <c r="H197" s="216">
        <f>(H196/2)/25+((D196+E196+F196+G196)/25)</f>
        <v>0</v>
      </c>
      <c r="I197" s="217"/>
      <c r="J197" s="218"/>
      <c r="K197" s="219" t="s">
        <v>221</v>
      </c>
      <c r="L197" s="212"/>
      <c r="M197" s="20"/>
    </row>
    <row r="198" spans="1:13" s="20" customFormat="1" ht="14.25" hidden="1" outlineLevel="1">
      <c r="B198" s="234" t="s">
        <v>233</v>
      </c>
      <c r="C198" s="235"/>
      <c r="D198" s="236"/>
      <c r="E198" s="236"/>
      <c r="F198" s="236"/>
      <c r="G198" s="236"/>
      <c r="H198" s="236"/>
      <c r="I198" s="237"/>
      <c r="J198" s="120"/>
      <c r="K198" s="233"/>
      <c r="L198" s="238"/>
    </row>
    <row r="199" spans="1:13" s="20" customFormat="1" ht="14.25" hidden="1" outlineLevel="1">
      <c r="B199" s="95" t="s">
        <v>419</v>
      </c>
      <c r="C199" s="10" t="s">
        <v>270</v>
      </c>
      <c r="D199" s="11">
        <v>0</v>
      </c>
      <c r="E199" s="11">
        <v>0</v>
      </c>
      <c r="F199" s="11">
        <v>0</v>
      </c>
      <c r="G199" s="11">
        <v>0</v>
      </c>
      <c r="H199" s="11">
        <v>0</v>
      </c>
      <c r="I199" s="93"/>
      <c r="J199" s="94"/>
      <c r="K199" s="242" t="str">
        <f>VLOOKUP($B199,Secteurs_PQI_OP,2,0)</f>
        <v>-- Choisir un secteur d'activité dans la colonne B --</v>
      </c>
      <c r="L199" s="96"/>
    </row>
    <row r="200" spans="1:13" s="213" customFormat="1" ht="15" hidden="1" outlineLevel="1">
      <c r="A200" s="20"/>
      <c r="B200" s="214" t="str">
        <f>"Impact financier – "&amp;RIGHT(B198,LEN(B198)-2)</f>
        <v>Impact financier –   Nom de l'engagement</v>
      </c>
      <c r="C200" s="215"/>
      <c r="D200" s="216">
        <f>(D199/2)/25</f>
        <v>0</v>
      </c>
      <c r="E200" s="216">
        <f>(E199/2)/25+((D199)/25)</f>
        <v>0</v>
      </c>
      <c r="F200" s="216">
        <f>(F199/2)/25+((D199+E199)/25)</f>
        <v>0</v>
      </c>
      <c r="G200" s="216">
        <f>(G199/2)/25+((D199+E199+F199)/25)</f>
        <v>0</v>
      </c>
      <c r="H200" s="216">
        <f>(H199/2)/25+((D199+E199+F199+G199)/25)</f>
        <v>0</v>
      </c>
      <c r="I200" s="217"/>
      <c r="J200" s="218"/>
      <c r="K200" s="219" t="s">
        <v>221</v>
      </c>
      <c r="L200" s="212"/>
      <c r="M200" s="20"/>
    </row>
    <row r="201" spans="1:13" s="20" customFormat="1" ht="14.25" hidden="1" outlineLevel="1">
      <c r="B201" s="234" t="s">
        <v>233</v>
      </c>
      <c r="C201" s="235"/>
      <c r="D201" s="236"/>
      <c r="E201" s="236"/>
      <c r="F201" s="236"/>
      <c r="G201" s="236"/>
      <c r="H201" s="236"/>
      <c r="I201" s="237"/>
      <c r="J201" s="120"/>
      <c r="K201" s="233"/>
      <c r="L201" s="238"/>
    </row>
    <row r="202" spans="1:13" s="20" customFormat="1" ht="14.25" hidden="1" outlineLevel="1">
      <c r="B202" s="95" t="s">
        <v>419</v>
      </c>
      <c r="C202" s="10" t="s">
        <v>270</v>
      </c>
      <c r="D202" s="11">
        <v>0</v>
      </c>
      <c r="E202" s="11">
        <v>0</v>
      </c>
      <c r="F202" s="11">
        <v>0</v>
      </c>
      <c r="G202" s="11">
        <v>0</v>
      </c>
      <c r="H202" s="11">
        <v>0</v>
      </c>
      <c r="I202" s="93"/>
      <c r="J202" s="94"/>
      <c r="K202" s="242" t="str">
        <f>VLOOKUP($B202,Secteurs_PQI_OP,2,0)</f>
        <v>-- Choisir un secteur d'activité dans la colonne B --</v>
      </c>
      <c r="L202" s="96"/>
    </row>
    <row r="203" spans="1:13" s="213" customFormat="1" ht="15" hidden="1" outlineLevel="1">
      <c r="A203" s="20"/>
      <c r="B203" s="214" t="str">
        <f>"Impact financier – "&amp;RIGHT(B201,LEN(B201)-2)</f>
        <v>Impact financier –   Nom de l'engagement</v>
      </c>
      <c r="C203" s="215"/>
      <c r="D203" s="216">
        <f>(D202/2)/25</f>
        <v>0</v>
      </c>
      <c r="E203" s="216">
        <f>(E202/2)/25+((D202)/25)</f>
        <v>0</v>
      </c>
      <c r="F203" s="216">
        <f>(F202/2)/25+((D202+E202)/25)</f>
        <v>0</v>
      </c>
      <c r="G203" s="216">
        <f>(G202/2)/25+((D202+E202+F202)/25)</f>
        <v>0</v>
      </c>
      <c r="H203" s="216">
        <f>(H202/2)/25+((D202+E202+F202+G202)/25)</f>
        <v>0</v>
      </c>
      <c r="I203" s="217"/>
      <c r="J203" s="218"/>
      <c r="K203" s="219" t="s">
        <v>221</v>
      </c>
      <c r="L203" s="212"/>
      <c r="M203" s="20"/>
    </row>
    <row r="204" spans="1:13" s="20" customFormat="1" ht="14.25" hidden="1" outlineLevel="1">
      <c r="B204" s="234" t="s">
        <v>233</v>
      </c>
      <c r="C204" s="235"/>
      <c r="D204" s="236"/>
      <c r="E204" s="236"/>
      <c r="F204" s="236"/>
      <c r="G204" s="236"/>
      <c r="H204" s="236"/>
      <c r="I204" s="237"/>
      <c r="J204" s="120"/>
      <c r="K204" s="233"/>
      <c r="L204" s="238"/>
    </row>
    <row r="205" spans="1:13" s="20" customFormat="1" ht="14.25" hidden="1" outlineLevel="1">
      <c r="B205" s="95" t="s">
        <v>419</v>
      </c>
      <c r="C205" s="10" t="s">
        <v>270</v>
      </c>
      <c r="D205" s="11">
        <v>0</v>
      </c>
      <c r="E205" s="11">
        <v>0</v>
      </c>
      <c r="F205" s="11">
        <v>0</v>
      </c>
      <c r="G205" s="11">
        <v>0</v>
      </c>
      <c r="H205" s="11">
        <v>0</v>
      </c>
      <c r="I205" s="93"/>
      <c r="J205" s="94"/>
      <c r="K205" s="242" t="str">
        <f>VLOOKUP($B205,Secteurs_PQI_OP,2,0)</f>
        <v>-- Choisir un secteur d'activité dans la colonne B --</v>
      </c>
      <c r="L205" s="96"/>
    </row>
    <row r="206" spans="1:13" s="213" customFormat="1" ht="15" hidden="1" outlineLevel="1">
      <c r="A206" s="20"/>
      <c r="B206" s="214" t="str">
        <f>"Impact financier – "&amp;RIGHT(B204,LEN(B204)-2)</f>
        <v>Impact financier –   Nom de l'engagement</v>
      </c>
      <c r="C206" s="215"/>
      <c r="D206" s="216">
        <f>(D205/2)/25</f>
        <v>0</v>
      </c>
      <c r="E206" s="216">
        <f>(E205/2)/25+((D205)/25)</f>
        <v>0</v>
      </c>
      <c r="F206" s="216">
        <f>(F205/2)/25+((D205+E205)/25)</f>
        <v>0</v>
      </c>
      <c r="G206" s="216">
        <f>(G205/2)/25+((D205+E205+F205)/25)</f>
        <v>0</v>
      </c>
      <c r="H206" s="216">
        <f>(H205/2)/25+((D205+E205+F205+G205)/25)</f>
        <v>0</v>
      </c>
      <c r="I206" s="217"/>
      <c r="J206" s="218"/>
      <c r="K206" s="219" t="s">
        <v>221</v>
      </c>
      <c r="L206" s="212"/>
      <c r="M206" s="20"/>
    </row>
    <row r="207" spans="1:13" s="20" customFormat="1" ht="14.25" hidden="1" outlineLevel="1">
      <c r="B207" s="234" t="s">
        <v>233</v>
      </c>
      <c r="C207" s="235"/>
      <c r="D207" s="236"/>
      <c r="E207" s="236"/>
      <c r="F207" s="236"/>
      <c r="G207" s="236"/>
      <c r="H207" s="236"/>
      <c r="I207" s="237"/>
      <c r="J207" s="120"/>
      <c r="K207" s="233"/>
      <c r="L207" s="238"/>
    </row>
    <row r="208" spans="1:13" s="20" customFormat="1" ht="14.25" hidden="1" outlineLevel="1">
      <c r="B208" s="95" t="s">
        <v>419</v>
      </c>
      <c r="C208" s="10" t="s">
        <v>270</v>
      </c>
      <c r="D208" s="11">
        <v>0</v>
      </c>
      <c r="E208" s="11">
        <v>0</v>
      </c>
      <c r="F208" s="11">
        <v>0</v>
      </c>
      <c r="G208" s="11">
        <v>0</v>
      </c>
      <c r="H208" s="11">
        <v>0</v>
      </c>
      <c r="I208" s="93"/>
      <c r="J208" s="94"/>
      <c r="K208" s="242" t="str">
        <f>VLOOKUP($B208,Secteurs_PQI_OP,2,0)</f>
        <v>-- Choisir un secteur d'activité dans la colonne B --</v>
      </c>
      <c r="L208" s="96"/>
    </row>
    <row r="209" spans="1:13" s="213" customFormat="1" ht="15" hidden="1" outlineLevel="1">
      <c r="A209" s="20"/>
      <c r="B209" s="214" t="str">
        <f>"Impact financier – "&amp;RIGHT(B207,LEN(B207)-2)</f>
        <v>Impact financier –   Nom de l'engagement</v>
      </c>
      <c r="C209" s="215"/>
      <c r="D209" s="216">
        <f>(D208/2)/25</f>
        <v>0</v>
      </c>
      <c r="E209" s="216">
        <f>(E208/2)/25+((D208)/25)</f>
        <v>0</v>
      </c>
      <c r="F209" s="216">
        <f>(F208/2)/25+((D208+E208)/25)</f>
        <v>0</v>
      </c>
      <c r="G209" s="216">
        <f>(G208/2)/25+((D208+E208+F208)/25)</f>
        <v>0</v>
      </c>
      <c r="H209" s="216">
        <f>(H208/2)/25+((D208+E208+F208+G208)/25)</f>
        <v>0</v>
      </c>
      <c r="I209" s="217"/>
      <c r="J209" s="218"/>
      <c r="K209" s="219" t="s">
        <v>221</v>
      </c>
      <c r="L209" s="212"/>
      <c r="M209" s="20"/>
    </row>
    <row r="210" spans="1:13" s="20" customFormat="1" ht="14.25" hidden="1" outlineLevel="1">
      <c r="B210" s="234" t="s">
        <v>233</v>
      </c>
      <c r="C210" s="235"/>
      <c r="D210" s="236"/>
      <c r="E210" s="236"/>
      <c r="F210" s="236"/>
      <c r="G210" s="236"/>
      <c r="H210" s="236"/>
      <c r="I210" s="237"/>
      <c r="J210" s="120"/>
      <c r="K210" s="233"/>
      <c r="L210" s="238"/>
    </row>
    <row r="211" spans="1:13" s="20" customFormat="1" ht="14.25" hidden="1" outlineLevel="1">
      <c r="B211" s="95" t="s">
        <v>419</v>
      </c>
      <c r="C211" s="10" t="s">
        <v>270</v>
      </c>
      <c r="D211" s="11">
        <v>0</v>
      </c>
      <c r="E211" s="11">
        <v>0</v>
      </c>
      <c r="F211" s="11">
        <v>0</v>
      </c>
      <c r="G211" s="11">
        <v>0</v>
      </c>
      <c r="H211" s="11">
        <v>0</v>
      </c>
      <c r="I211" s="93"/>
      <c r="J211" s="94"/>
      <c r="K211" s="242" t="str">
        <f>VLOOKUP($B211,Secteurs_PQI_OP,2,0)</f>
        <v>-- Choisir un secteur d'activité dans la colonne B --</v>
      </c>
      <c r="L211" s="96"/>
    </row>
    <row r="212" spans="1:13" s="213" customFormat="1" ht="15" hidden="1" outlineLevel="1">
      <c r="A212" s="20"/>
      <c r="B212" s="214" t="str">
        <f>"Impact financier – "&amp;RIGHT(B210,LEN(B210)-2)</f>
        <v>Impact financier –   Nom de l'engagement</v>
      </c>
      <c r="C212" s="215"/>
      <c r="D212" s="216">
        <f>(D211/2)/25</f>
        <v>0</v>
      </c>
      <c r="E212" s="216">
        <f>(E211/2)/25+((D211)/25)</f>
        <v>0</v>
      </c>
      <c r="F212" s="216">
        <f>(F211/2)/25+((D211+E211)/25)</f>
        <v>0</v>
      </c>
      <c r="G212" s="216">
        <f>(G211/2)/25+((D211+E211+F211)/25)</f>
        <v>0</v>
      </c>
      <c r="H212" s="216">
        <f>(H211/2)/25+((D211+E211+F211+G211)/25)</f>
        <v>0</v>
      </c>
      <c r="I212" s="217"/>
      <c r="J212" s="218"/>
      <c r="K212" s="219" t="s">
        <v>221</v>
      </c>
      <c r="L212" s="212"/>
      <c r="M212" s="20"/>
    </row>
    <row r="213" spans="1:13" s="20" customFormat="1" ht="14.25" collapsed="1">
      <c r="B213" s="12" t="s">
        <v>210</v>
      </c>
      <c r="C213" s="13"/>
      <c r="D213" s="14"/>
      <c r="E213" s="14"/>
      <c r="F213" s="14"/>
      <c r="G213" s="14"/>
      <c r="H213" s="14"/>
      <c r="I213" s="97"/>
      <c r="J213" s="83"/>
      <c r="K213" s="97"/>
      <c r="L213" s="99"/>
    </row>
    <row r="214" spans="1:13" s="20" customFormat="1" ht="25.5">
      <c r="B214" s="116" t="s">
        <v>217</v>
      </c>
      <c r="C214" s="117"/>
      <c r="D214" s="118">
        <f>D549</f>
        <v>0</v>
      </c>
      <c r="E214" s="118">
        <f t="shared" ref="E214:H214" si="0">E549</f>
        <v>0</v>
      </c>
      <c r="F214" s="118">
        <f t="shared" si="0"/>
        <v>0</v>
      </c>
      <c r="G214" s="118">
        <f t="shared" si="0"/>
        <v>0</v>
      </c>
      <c r="H214" s="118">
        <f t="shared" si="0"/>
        <v>0</v>
      </c>
      <c r="I214" s="119"/>
      <c r="J214" s="120"/>
      <c r="K214" s="121"/>
      <c r="L214" s="121"/>
    </row>
    <row r="215" spans="1:13" s="20" customFormat="1" ht="3.75" customHeight="1">
      <c r="B215" s="116"/>
      <c r="C215" s="117"/>
      <c r="D215" s="184"/>
      <c r="E215" s="184"/>
      <c r="F215" s="184"/>
      <c r="G215" s="184"/>
      <c r="H215" s="184"/>
      <c r="I215" s="119"/>
      <c r="J215" s="120"/>
      <c r="K215" s="121"/>
      <c r="L215" s="121"/>
    </row>
    <row r="216" spans="1:13" s="20" customFormat="1" ht="14.25">
      <c r="B216" s="116"/>
      <c r="C216" s="117"/>
      <c r="D216" s="184"/>
      <c r="E216" s="184"/>
      <c r="F216" s="184"/>
      <c r="G216" s="184"/>
      <c r="H216" s="184"/>
      <c r="I216" s="119"/>
      <c r="J216" s="120"/>
      <c r="K216" s="121"/>
      <c r="L216" s="121"/>
    </row>
    <row r="217" spans="1:13" s="20" customFormat="1" ht="42.75">
      <c r="B217" s="91" t="s">
        <v>428</v>
      </c>
      <c r="C217" s="117"/>
      <c r="D217" s="184"/>
      <c r="E217" s="184"/>
      <c r="F217" s="184"/>
      <c r="H217" s="184"/>
      <c r="I217" s="119"/>
      <c r="J217" s="120"/>
      <c r="K217" s="121"/>
      <c r="L217" s="125" t="s">
        <v>392</v>
      </c>
    </row>
    <row r="218" spans="1:13" s="20" customFormat="1" ht="14.25">
      <c r="B218" s="12" t="s">
        <v>234</v>
      </c>
      <c r="C218" s="13"/>
      <c r="D218" s="14"/>
      <c r="E218" s="14"/>
      <c r="F218" s="14"/>
      <c r="G218" s="14"/>
      <c r="H218" s="14"/>
      <c r="I218" s="97"/>
      <c r="J218" s="83"/>
      <c r="K218" s="246"/>
      <c r="L218" s="121"/>
    </row>
    <row r="219" spans="1:13" s="20" customFormat="1" ht="14.25">
      <c r="B219" s="95" t="s">
        <v>419</v>
      </c>
      <c r="C219" s="10"/>
      <c r="D219" s="11">
        <v>0</v>
      </c>
      <c r="E219" s="11">
        <v>0</v>
      </c>
      <c r="F219" s="11">
        <v>0</v>
      </c>
      <c r="G219" s="11">
        <v>0</v>
      </c>
      <c r="H219" s="11">
        <v>0</v>
      </c>
      <c r="I219" s="93"/>
      <c r="J219" s="94"/>
      <c r="K219" s="242" t="str">
        <f>VLOOKUP($B219,Secteurs_PQI_OS,2,0)</f>
        <v>-- Choisir un secteur d'activité dans la colonne B --</v>
      </c>
      <c r="L219" s="96"/>
    </row>
    <row r="220" spans="1:13" s="20" customFormat="1" ht="14.25">
      <c r="B220" s="12" t="s">
        <v>234</v>
      </c>
      <c r="C220" s="13"/>
      <c r="D220" s="14"/>
      <c r="E220" s="14"/>
      <c r="F220" s="14"/>
      <c r="G220" s="14"/>
      <c r="H220" s="14"/>
      <c r="I220" s="97"/>
      <c r="J220" s="83"/>
      <c r="K220" s="247"/>
      <c r="L220" s="121"/>
    </row>
    <row r="221" spans="1:13" s="20" customFormat="1" ht="14.25">
      <c r="B221" s="95" t="s">
        <v>419</v>
      </c>
      <c r="C221" s="10"/>
      <c r="D221" s="11">
        <v>0</v>
      </c>
      <c r="E221" s="11">
        <v>0</v>
      </c>
      <c r="F221" s="11">
        <v>0</v>
      </c>
      <c r="G221" s="11">
        <v>0</v>
      </c>
      <c r="H221" s="11">
        <v>0</v>
      </c>
      <c r="I221" s="93"/>
      <c r="J221" s="94"/>
      <c r="K221" s="242" t="str">
        <f>VLOOKUP($B221,Secteurs_PQI_OS,2,0)</f>
        <v>-- Choisir un secteur d'activité dans la colonne B --</v>
      </c>
      <c r="L221" s="96"/>
    </row>
    <row r="222" spans="1:13" s="20" customFormat="1" ht="14.25">
      <c r="B222" s="12" t="s">
        <v>234</v>
      </c>
      <c r="C222" s="13"/>
      <c r="D222" s="14"/>
      <c r="E222" s="14"/>
      <c r="F222" s="14"/>
      <c r="G222" s="14"/>
      <c r="H222" s="14"/>
      <c r="I222" s="97"/>
      <c r="J222" s="83"/>
      <c r="K222" s="247"/>
      <c r="L222" s="121"/>
    </row>
    <row r="223" spans="1:13" s="20" customFormat="1" ht="14.25">
      <c r="B223" s="95" t="s">
        <v>419</v>
      </c>
      <c r="C223" s="10"/>
      <c r="D223" s="11">
        <v>0</v>
      </c>
      <c r="E223" s="11">
        <v>0</v>
      </c>
      <c r="F223" s="11">
        <v>0</v>
      </c>
      <c r="G223" s="11">
        <v>0</v>
      </c>
      <c r="H223" s="11">
        <v>0</v>
      </c>
      <c r="I223" s="93"/>
      <c r="J223" s="94"/>
      <c r="K223" s="242" t="str">
        <f>VLOOKUP($B223,Secteurs_PQI_OS,2,0)</f>
        <v>-- Choisir un secteur d'activité dans la colonne B --</v>
      </c>
      <c r="L223" s="96"/>
    </row>
    <row r="224" spans="1:13" s="20" customFormat="1" ht="14.25">
      <c r="B224" s="12" t="s">
        <v>234</v>
      </c>
      <c r="C224" s="13"/>
      <c r="D224" s="14"/>
      <c r="E224" s="14"/>
      <c r="F224" s="14"/>
      <c r="G224" s="14"/>
      <c r="H224" s="14"/>
      <c r="I224" s="97"/>
      <c r="J224" s="83"/>
      <c r="K224" s="247"/>
      <c r="L224" s="121"/>
    </row>
    <row r="225" spans="2:12" s="20" customFormat="1" ht="14.25">
      <c r="B225" s="95" t="s">
        <v>419</v>
      </c>
      <c r="C225" s="10"/>
      <c r="D225" s="11">
        <v>0</v>
      </c>
      <c r="E225" s="11">
        <v>0</v>
      </c>
      <c r="F225" s="11">
        <v>0</v>
      </c>
      <c r="G225" s="11">
        <v>0</v>
      </c>
      <c r="H225" s="11">
        <v>0</v>
      </c>
      <c r="I225" s="93"/>
      <c r="J225" s="94"/>
      <c r="K225" s="242" t="str">
        <f>VLOOKUP($B225,Secteurs_PQI_OS,2,0)</f>
        <v>-- Choisir un secteur d'activité dans la colonne B --</v>
      </c>
      <c r="L225" s="96"/>
    </row>
    <row r="226" spans="2:12" s="20" customFormat="1" ht="14.25">
      <c r="B226" s="12" t="s">
        <v>234</v>
      </c>
      <c r="C226" s="13"/>
      <c r="D226" s="14"/>
      <c r="E226" s="14"/>
      <c r="F226" s="14"/>
      <c r="G226" s="14"/>
      <c r="H226" s="14"/>
      <c r="I226" s="97"/>
      <c r="J226" s="83"/>
      <c r="K226" s="247"/>
      <c r="L226" s="121"/>
    </row>
    <row r="227" spans="2:12" s="20" customFormat="1" ht="14.25">
      <c r="B227" s="95" t="s">
        <v>419</v>
      </c>
      <c r="C227" s="10"/>
      <c r="D227" s="11">
        <v>0</v>
      </c>
      <c r="E227" s="11">
        <v>0</v>
      </c>
      <c r="F227" s="11">
        <v>0</v>
      </c>
      <c r="G227" s="11">
        <v>0</v>
      </c>
      <c r="H227" s="11">
        <v>0</v>
      </c>
      <c r="I227" s="93"/>
      <c r="J227" s="94"/>
      <c r="K227" s="242" t="str">
        <f>VLOOKUP($B227,Secteurs_PQI_OS,2,0)</f>
        <v>-- Choisir un secteur d'activité dans la colonne B --</v>
      </c>
      <c r="L227" s="96"/>
    </row>
    <row r="228" spans="2:12" s="20" customFormat="1" ht="14.25">
      <c r="B228" s="12" t="s">
        <v>234</v>
      </c>
      <c r="C228" s="13"/>
      <c r="D228" s="14"/>
      <c r="E228" s="14"/>
      <c r="F228" s="14"/>
      <c r="G228" s="14"/>
      <c r="H228" s="14"/>
      <c r="I228" s="97"/>
      <c r="J228" s="83"/>
      <c r="K228" s="247"/>
      <c r="L228" s="121"/>
    </row>
    <row r="229" spans="2:12" s="20" customFormat="1" ht="14.25">
      <c r="B229" s="95" t="s">
        <v>419</v>
      </c>
      <c r="C229" s="10"/>
      <c r="D229" s="11">
        <v>0</v>
      </c>
      <c r="E229" s="11">
        <v>0</v>
      </c>
      <c r="F229" s="11">
        <v>0</v>
      </c>
      <c r="G229" s="11">
        <v>0</v>
      </c>
      <c r="H229" s="11">
        <v>0</v>
      </c>
      <c r="I229" s="93"/>
      <c r="J229" s="94"/>
      <c r="K229" s="242" t="str">
        <f>VLOOKUP($B229,Secteurs_PQI_OS,2,0)</f>
        <v>-- Choisir un secteur d'activité dans la colonne B --</v>
      </c>
      <c r="L229" s="96"/>
    </row>
    <row r="230" spans="2:12" s="20" customFormat="1" ht="14.25">
      <c r="B230" s="12" t="s">
        <v>234</v>
      </c>
      <c r="C230" s="13"/>
      <c r="D230" s="14"/>
      <c r="E230" s="14"/>
      <c r="F230" s="14"/>
      <c r="G230" s="14"/>
      <c r="H230" s="14"/>
      <c r="I230" s="97"/>
      <c r="J230" s="83"/>
      <c r="K230" s="247"/>
      <c r="L230" s="121"/>
    </row>
    <row r="231" spans="2:12" s="20" customFormat="1" ht="14.25">
      <c r="B231" s="95" t="s">
        <v>419</v>
      </c>
      <c r="C231" s="10"/>
      <c r="D231" s="11">
        <v>0</v>
      </c>
      <c r="E231" s="11">
        <v>0</v>
      </c>
      <c r="F231" s="11">
        <v>0</v>
      </c>
      <c r="G231" s="11">
        <v>0</v>
      </c>
      <c r="H231" s="11">
        <v>0</v>
      </c>
      <c r="I231" s="93"/>
      <c r="J231" s="94"/>
      <c r="K231" s="242" t="str">
        <f>VLOOKUP($B231,Secteurs_PQI_OS,2,0)</f>
        <v>-- Choisir un secteur d'activité dans la colonne B --</v>
      </c>
      <c r="L231" s="96"/>
    </row>
    <row r="232" spans="2:12" s="20" customFormat="1" ht="14.25">
      <c r="B232" s="12" t="s">
        <v>234</v>
      </c>
      <c r="C232" s="13"/>
      <c r="D232" s="14"/>
      <c r="E232" s="14"/>
      <c r="F232" s="14"/>
      <c r="G232" s="14"/>
      <c r="H232" s="14"/>
      <c r="I232" s="97"/>
      <c r="J232" s="83"/>
      <c r="K232" s="247"/>
      <c r="L232" s="121"/>
    </row>
    <row r="233" spans="2:12" s="20" customFormat="1" ht="14.25">
      <c r="B233" s="95" t="s">
        <v>419</v>
      </c>
      <c r="C233" s="10"/>
      <c r="D233" s="11">
        <v>0</v>
      </c>
      <c r="E233" s="11">
        <v>0</v>
      </c>
      <c r="F233" s="11">
        <v>0</v>
      </c>
      <c r="G233" s="11">
        <v>0</v>
      </c>
      <c r="H233" s="11">
        <v>0</v>
      </c>
      <c r="I233" s="93"/>
      <c r="J233" s="94"/>
      <c r="K233" s="242" t="str">
        <f>VLOOKUP($B233,Secteurs_PQI_OS,2,0)</f>
        <v>-- Choisir un secteur d'activité dans la colonne B --</v>
      </c>
      <c r="L233" s="96"/>
    </row>
    <row r="234" spans="2:12" s="20" customFormat="1" ht="14.25">
      <c r="B234" s="12" t="s">
        <v>234</v>
      </c>
      <c r="C234" s="13"/>
      <c r="D234" s="14"/>
      <c r="E234" s="14"/>
      <c r="F234" s="14"/>
      <c r="G234" s="14"/>
      <c r="H234" s="14"/>
      <c r="I234" s="97"/>
      <c r="J234" s="83"/>
      <c r="K234" s="247"/>
      <c r="L234" s="121"/>
    </row>
    <row r="235" spans="2:12" s="20" customFormat="1" ht="14.25">
      <c r="B235" s="95" t="s">
        <v>419</v>
      </c>
      <c r="C235" s="10"/>
      <c r="D235" s="11">
        <v>0</v>
      </c>
      <c r="E235" s="11">
        <v>0</v>
      </c>
      <c r="F235" s="11">
        <v>0</v>
      </c>
      <c r="G235" s="11">
        <v>0</v>
      </c>
      <c r="H235" s="11">
        <v>0</v>
      </c>
      <c r="I235" s="93"/>
      <c r="J235" s="94"/>
      <c r="K235" s="242" t="str">
        <f>VLOOKUP($B235,Secteurs_PQI_OS,2,0)</f>
        <v>-- Choisir un secteur d'activité dans la colonne B --</v>
      </c>
      <c r="L235" s="96"/>
    </row>
    <row r="236" spans="2:12" s="20" customFormat="1" ht="14.25" hidden="1" outlineLevel="1">
      <c r="B236" s="12" t="s">
        <v>234</v>
      </c>
      <c r="C236" s="13"/>
      <c r="D236" s="14"/>
      <c r="E236" s="14"/>
      <c r="F236" s="14"/>
      <c r="G236" s="14"/>
      <c r="H236" s="14"/>
      <c r="I236" s="97"/>
      <c r="J236" s="83"/>
      <c r="K236" s="247"/>
      <c r="L236" s="121"/>
    </row>
    <row r="237" spans="2:12" s="20" customFormat="1" ht="14.25" hidden="1" outlineLevel="1">
      <c r="B237" s="95" t="s">
        <v>419</v>
      </c>
      <c r="C237" s="10"/>
      <c r="D237" s="11">
        <v>0</v>
      </c>
      <c r="E237" s="11">
        <v>0</v>
      </c>
      <c r="F237" s="11">
        <v>0</v>
      </c>
      <c r="G237" s="11">
        <v>0</v>
      </c>
      <c r="H237" s="11">
        <v>0</v>
      </c>
      <c r="I237" s="93"/>
      <c r="J237" s="94"/>
      <c r="K237" s="242" t="str">
        <f>VLOOKUP($B237,Secteurs_PQI_OS,2,0)</f>
        <v>-- Choisir un secteur d'activité dans la colonne B --</v>
      </c>
      <c r="L237" s="96"/>
    </row>
    <row r="238" spans="2:12" s="20" customFormat="1" ht="14.25" hidden="1" outlineLevel="1">
      <c r="B238" s="12" t="s">
        <v>234</v>
      </c>
      <c r="C238" s="13"/>
      <c r="D238" s="14"/>
      <c r="E238" s="14"/>
      <c r="F238" s="14"/>
      <c r="G238" s="14"/>
      <c r="H238" s="14"/>
      <c r="I238" s="97"/>
      <c r="J238" s="83"/>
      <c r="K238" s="247"/>
      <c r="L238" s="121"/>
    </row>
    <row r="239" spans="2:12" s="20" customFormat="1" ht="14.25" hidden="1" outlineLevel="1">
      <c r="B239" s="95" t="s">
        <v>419</v>
      </c>
      <c r="C239" s="10"/>
      <c r="D239" s="11">
        <v>0</v>
      </c>
      <c r="E239" s="11">
        <v>0</v>
      </c>
      <c r="F239" s="11">
        <v>0</v>
      </c>
      <c r="G239" s="11">
        <v>0</v>
      </c>
      <c r="H239" s="11">
        <v>0</v>
      </c>
      <c r="I239" s="93"/>
      <c r="J239" s="94"/>
      <c r="K239" s="242" t="str">
        <f>VLOOKUP($B239,Secteurs_PQI_OS,2,0)</f>
        <v>-- Choisir un secteur d'activité dans la colonne B --</v>
      </c>
      <c r="L239" s="96"/>
    </row>
    <row r="240" spans="2:12" s="20" customFormat="1" ht="14.25" hidden="1" outlineLevel="1">
      <c r="B240" s="12" t="s">
        <v>234</v>
      </c>
      <c r="C240" s="13"/>
      <c r="D240" s="14"/>
      <c r="E240" s="14"/>
      <c r="F240" s="14"/>
      <c r="G240" s="14"/>
      <c r="H240" s="14"/>
      <c r="I240" s="97"/>
      <c r="J240" s="83"/>
      <c r="K240" s="247"/>
      <c r="L240" s="121"/>
    </row>
    <row r="241" spans="2:12" s="20" customFormat="1" ht="14.25" hidden="1" outlineLevel="1">
      <c r="B241" s="95" t="s">
        <v>419</v>
      </c>
      <c r="C241" s="10"/>
      <c r="D241" s="11">
        <v>0</v>
      </c>
      <c r="E241" s="11">
        <v>0</v>
      </c>
      <c r="F241" s="11">
        <v>0</v>
      </c>
      <c r="G241" s="11">
        <v>0</v>
      </c>
      <c r="H241" s="11">
        <v>0</v>
      </c>
      <c r="I241" s="93"/>
      <c r="J241" s="94"/>
      <c r="K241" s="242" t="str">
        <f>VLOOKUP($B241,Secteurs_PQI_OS,2,0)</f>
        <v>-- Choisir un secteur d'activité dans la colonne B --</v>
      </c>
      <c r="L241" s="96"/>
    </row>
    <row r="242" spans="2:12" s="20" customFormat="1" ht="14.25" hidden="1" outlineLevel="1">
      <c r="B242" s="12" t="s">
        <v>234</v>
      </c>
      <c r="C242" s="13"/>
      <c r="D242" s="14"/>
      <c r="E242" s="14"/>
      <c r="F242" s="14"/>
      <c r="G242" s="14"/>
      <c r="H242" s="14"/>
      <c r="I242" s="97"/>
      <c r="J242" s="83"/>
      <c r="K242" s="247"/>
      <c r="L242" s="121"/>
    </row>
    <row r="243" spans="2:12" s="20" customFormat="1" ht="14.25" hidden="1" outlineLevel="1">
      <c r="B243" s="95" t="s">
        <v>419</v>
      </c>
      <c r="C243" s="10"/>
      <c r="D243" s="11">
        <v>0</v>
      </c>
      <c r="E243" s="11">
        <v>0</v>
      </c>
      <c r="F243" s="11">
        <v>0</v>
      </c>
      <c r="G243" s="11">
        <v>0</v>
      </c>
      <c r="H243" s="11">
        <v>0</v>
      </c>
      <c r="I243" s="93"/>
      <c r="J243" s="94"/>
      <c r="K243" s="242" t="str">
        <f>VLOOKUP($B243,Secteurs_PQI_OS,2,0)</f>
        <v>-- Choisir un secteur d'activité dans la colonne B --</v>
      </c>
      <c r="L243" s="96"/>
    </row>
    <row r="244" spans="2:12" s="20" customFormat="1" ht="14.25" hidden="1" outlineLevel="1">
      <c r="B244" s="12" t="s">
        <v>234</v>
      </c>
      <c r="C244" s="13"/>
      <c r="D244" s="14"/>
      <c r="E244" s="14"/>
      <c r="F244" s="14"/>
      <c r="G244" s="14"/>
      <c r="H244" s="14"/>
      <c r="I244" s="97"/>
      <c r="J244" s="83"/>
      <c r="K244" s="247"/>
      <c r="L244" s="121"/>
    </row>
    <row r="245" spans="2:12" s="20" customFormat="1" ht="14.25" hidden="1" outlineLevel="1">
      <c r="B245" s="95" t="s">
        <v>419</v>
      </c>
      <c r="C245" s="10"/>
      <c r="D245" s="11">
        <v>0</v>
      </c>
      <c r="E245" s="11">
        <v>0</v>
      </c>
      <c r="F245" s="11">
        <v>0</v>
      </c>
      <c r="G245" s="11">
        <v>0</v>
      </c>
      <c r="H245" s="11">
        <v>0</v>
      </c>
      <c r="I245" s="93"/>
      <c r="J245" s="94"/>
      <c r="K245" s="242" t="str">
        <f>VLOOKUP($B245,Secteurs_PQI_OS,2,0)</f>
        <v>-- Choisir un secteur d'activité dans la colonne B --</v>
      </c>
      <c r="L245" s="96"/>
    </row>
    <row r="246" spans="2:12" s="20" customFormat="1" ht="14.25" hidden="1" outlineLevel="1">
      <c r="B246" s="12" t="s">
        <v>234</v>
      </c>
      <c r="C246" s="13"/>
      <c r="D246" s="14"/>
      <c r="E246" s="14"/>
      <c r="F246" s="14"/>
      <c r="G246" s="14"/>
      <c r="H246" s="14"/>
      <c r="I246" s="97"/>
      <c r="J246" s="83"/>
      <c r="K246" s="247"/>
      <c r="L246" s="121"/>
    </row>
    <row r="247" spans="2:12" s="20" customFormat="1" ht="14.25" hidden="1" outlineLevel="1">
      <c r="B247" s="95" t="s">
        <v>419</v>
      </c>
      <c r="C247" s="10"/>
      <c r="D247" s="11">
        <v>0</v>
      </c>
      <c r="E247" s="11">
        <v>0</v>
      </c>
      <c r="F247" s="11">
        <v>0</v>
      </c>
      <c r="G247" s="11">
        <v>0</v>
      </c>
      <c r="H247" s="11">
        <v>0</v>
      </c>
      <c r="I247" s="93"/>
      <c r="J247" s="94"/>
      <c r="K247" s="242" t="str">
        <f>VLOOKUP($B247,Secteurs_PQI_OS,2,0)</f>
        <v>-- Choisir un secteur d'activité dans la colonne B --</v>
      </c>
      <c r="L247" s="96"/>
    </row>
    <row r="248" spans="2:12" s="20" customFormat="1" ht="14.25" hidden="1" outlineLevel="1">
      <c r="B248" s="12" t="s">
        <v>234</v>
      </c>
      <c r="C248" s="13"/>
      <c r="D248" s="14"/>
      <c r="E248" s="14"/>
      <c r="F248" s="14"/>
      <c r="G248" s="14"/>
      <c r="H248" s="14"/>
      <c r="I248" s="97"/>
      <c r="J248" s="83"/>
      <c r="K248" s="247"/>
      <c r="L248" s="121"/>
    </row>
    <row r="249" spans="2:12" s="20" customFormat="1" ht="14.25" hidden="1" outlineLevel="1">
      <c r="B249" s="95" t="s">
        <v>419</v>
      </c>
      <c r="C249" s="10"/>
      <c r="D249" s="11">
        <v>0</v>
      </c>
      <c r="E249" s="11">
        <v>0</v>
      </c>
      <c r="F249" s="11">
        <v>0</v>
      </c>
      <c r="G249" s="11">
        <v>0</v>
      </c>
      <c r="H249" s="11">
        <v>0</v>
      </c>
      <c r="I249" s="93"/>
      <c r="J249" s="94"/>
      <c r="K249" s="242" t="str">
        <f>VLOOKUP($B249,Secteurs_PQI_OS,2,0)</f>
        <v>-- Choisir un secteur d'activité dans la colonne B --</v>
      </c>
      <c r="L249" s="96"/>
    </row>
    <row r="250" spans="2:12" s="20" customFormat="1" ht="14.25" hidden="1" outlineLevel="1">
      <c r="B250" s="12" t="s">
        <v>234</v>
      </c>
      <c r="C250" s="13"/>
      <c r="D250" s="14"/>
      <c r="E250" s="14"/>
      <c r="F250" s="14"/>
      <c r="G250" s="14"/>
      <c r="H250" s="14"/>
      <c r="I250" s="97"/>
      <c r="J250" s="83"/>
      <c r="K250" s="247"/>
      <c r="L250" s="121"/>
    </row>
    <row r="251" spans="2:12" s="20" customFormat="1" ht="14.25" hidden="1" outlineLevel="1">
      <c r="B251" s="95" t="s">
        <v>419</v>
      </c>
      <c r="C251" s="10"/>
      <c r="D251" s="11">
        <v>0</v>
      </c>
      <c r="E251" s="11">
        <v>0</v>
      </c>
      <c r="F251" s="11">
        <v>0</v>
      </c>
      <c r="G251" s="11">
        <v>0</v>
      </c>
      <c r="H251" s="11">
        <v>0</v>
      </c>
      <c r="I251" s="93"/>
      <c r="J251" s="94"/>
      <c r="K251" s="242" t="str">
        <f>VLOOKUP($B251,Secteurs_PQI_OS,2,0)</f>
        <v>-- Choisir un secteur d'activité dans la colonne B --</v>
      </c>
      <c r="L251" s="96"/>
    </row>
    <row r="252" spans="2:12" s="20" customFormat="1" ht="14.25" hidden="1" outlineLevel="1">
      <c r="B252" s="12" t="s">
        <v>234</v>
      </c>
      <c r="C252" s="13"/>
      <c r="D252" s="14"/>
      <c r="E252" s="14"/>
      <c r="F252" s="14"/>
      <c r="G252" s="14"/>
      <c r="H252" s="14"/>
      <c r="I252" s="97"/>
      <c r="J252" s="83"/>
      <c r="K252" s="247"/>
      <c r="L252" s="121"/>
    </row>
    <row r="253" spans="2:12" s="20" customFormat="1" ht="14.25" hidden="1" outlineLevel="1">
      <c r="B253" s="95" t="s">
        <v>419</v>
      </c>
      <c r="C253" s="10"/>
      <c r="D253" s="11">
        <v>0</v>
      </c>
      <c r="E253" s="11">
        <v>0</v>
      </c>
      <c r="F253" s="11">
        <v>0</v>
      </c>
      <c r="G253" s="11">
        <v>0</v>
      </c>
      <c r="H253" s="11">
        <v>0</v>
      </c>
      <c r="I253" s="93"/>
      <c r="J253" s="94"/>
      <c r="K253" s="242" t="str">
        <f>VLOOKUP($B253,Secteurs_PQI_OS,2,0)</f>
        <v>-- Choisir un secteur d'activité dans la colonne B --</v>
      </c>
      <c r="L253" s="96"/>
    </row>
    <row r="254" spans="2:12" s="20" customFormat="1" ht="14.25" hidden="1" outlineLevel="1">
      <c r="B254" s="12" t="s">
        <v>234</v>
      </c>
      <c r="C254" s="13"/>
      <c r="D254" s="14"/>
      <c r="E254" s="14"/>
      <c r="F254" s="14"/>
      <c r="G254" s="14"/>
      <c r="H254" s="14"/>
      <c r="I254" s="97"/>
      <c r="J254" s="83"/>
      <c r="K254" s="247"/>
      <c r="L254" s="121"/>
    </row>
    <row r="255" spans="2:12" s="20" customFormat="1" ht="14.25" hidden="1" outlineLevel="1">
      <c r="B255" s="95" t="s">
        <v>419</v>
      </c>
      <c r="C255" s="10"/>
      <c r="D255" s="11">
        <v>0</v>
      </c>
      <c r="E255" s="11">
        <v>0</v>
      </c>
      <c r="F255" s="11">
        <v>0</v>
      </c>
      <c r="G255" s="11">
        <v>0</v>
      </c>
      <c r="H255" s="11">
        <v>0</v>
      </c>
      <c r="I255" s="93"/>
      <c r="J255" s="94"/>
      <c r="K255" s="242" t="str">
        <f>VLOOKUP($B255,Secteurs_PQI_OS,2,0)</f>
        <v>-- Choisir un secteur d'activité dans la colonne B --</v>
      </c>
      <c r="L255" s="96"/>
    </row>
    <row r="256" spans="2:12" s="20" customFormat="1" ht="14.25" hidden="1" outlineLevel="1">
      <c r="B256" s="12" t="s">
        <v>234</v>
      </c>
      <c r="C256" s="13"/>
      <c r="D256" s="14"/>
      <c r="E256" s="14"/>
      <c r="F256" s="14"/>
      <c r="G256" s="14"/>
      <c r="H256" s="14"/>
      <c r="I256" s="97"/>
      <c r="J256" s="83"/>
      <c r="K256" s="247"/>
      <c r="L256" s="121"/>
    </row>
    <row r="257" spans="2:12" s="20" customFormat="1" ht="14.25" hidden="1" outlineLevel="1">
      <c r="B257" s="95" t="s">
        <v>419</v>
      </c>
      <c r="C257" s="10"/>
      <c r="D257" s="11">
        <v>0</v>
      </c>
      <c r="E257" s="11">
        <v>0</v>
      </c>
      <c r="F257" s="11">
        <v>0</v>
      </c>
      <c r="G257" s="11">
        <v>0</v>
      </c>
      <c r="H257" s="11">
        <v>0</v>
      </c>
      <c r="I257" s="93"/>
      <c r="J257" s="94"/>
      <c r="K257" s="242" t="str">
        <f>VLOOKUP($B257,Secteurs_PQI_OS,2,0)</f>
        <v>-- Choisir un secteur d'activité dans la colonne B --</v>
      </c>
      <c r="L257" s="96"/>
    </row>
    <row r="258" spans="2:12" s="20" customFormat="1" ht="14.25" hidden="1" outlineLevel="1">
      <c r="B258" s="12" t="s">
        <v>234</v>
      </c>
      <c r="C258" s="13"/>
      <c r="D258" s="14"/>
      <c r="E258" s="14"/>
      <c r="F258" s="14"/>
      <c r="G258" s="14"/>
      <c r="H258" s="14"/>
      <c r="I258" s="97"/>
      <c r="J258" s="83"/>
      <c r="K258" s="247"/>
      <c r="L258" s="121"/>
    </row>
    <row r="259" spans="2:12" s="20" customFormat="1" ht="14.25" hidden="1" outlineLevel="1">
      <c r="B259" s="95" t="s">
        <v>419</v>
      </c>
      <c r="C259" s="10"/>
      <c r="D259" s="11">
        <v>0</v>
      </c>
      <c r="E259" s="11">
        <v>0</v>
      </c>
      <c r="F259" s="11">
        <v>0</v>
      </c>
      <c r="G259" s="11">
        <v>0</v>
      </c>
      <c r="H259" s="11">
        <v>0</v>
      </c>
      <c r="I259" s="93"/>
      <c r="J259" s="94"/>
      <c r="K259" s="242" t="str">
        <f>VLOOKUP($B259,Secteurs_PQI_OS,2,0)</f>
        <v>-- Choisir un secteur d'activité dans la colonne B --</v>
      </c>
      <c r="L259" s="96"/>
    </row>
    <row r="260" spans="2:12" s="20" customFormat="1" ht="14.25" hidden="1" outlineLevel="1">
      <c r="B260" s="12" t="s">
        <v>234</v>
      </c>
      <c r="C260" s="13"/>
      <c r="D260" s="14"/>
      <c r="E260" s="14"/>
      <c r="F260" s="14"/>
      <c r="G260" s="14"/>
      <c r="H260" s="14"/>
      <c r="I260" s="97"/>
      <c r="J260" s="83"/>
      <c r="K260" s="247"/>
      <c r="L260" s="121"/>
    </row>
    <row r="261" spans="2:12" s="20" customFormat="1" ht="14.25" hidden="1" outlineLevel="1">
      <c r="B261" s="95" t="s">
        <v>419</v>
      </c>
      <c r="C261" s="10"/>
      <c r="D261" s="11">
        <v>0</v>
      </c>
      <c r="E261" s="11">
        <v>0</v>
      </c>
      <c r="F261" s="11">
        <v>0</v>
      </c>
      <c r="G261" s="11">
        <v>0</v>
      </c>
      <c r="H261" s="11">
        <v>0</v>
      </c>
      <c r="I261" s="93"/>
      <c r="J261" s="94"/>
      <c r="K261" s="242" t="str">
        <f>VLOOKUP($B261,Secteurs_PQI_OS,2,0)</f>
        <v>-- Choisir un secteur d'activité dans la colonne B --</v>
      </c>
      <c r="L261" s="96"/>
    </row>
    <row r="262" spans="2:12" s="20" customFormat="1" ht="14.25" hidden="1" outlineLevel="1">
      <c r="B262" s="12" t="s">
        <v>234</v>
      </c>
      <c r="C262" s="13"/>
      <c r="D262" s="14"/>
      <c r="E262" s="14"/>
      <c r="F262" s="14"/>
      <c r="G262" s="14"/>
      <c r="H262" s="14"/>
      <c r="I262" s="97"/>
      <c r="J262" s="83"/>
      <c r="K262" s="247"/>
      <c r="L262" s="121"/>
    </row>
    <row r="263" spans="2:12" s="20" customFormat="1" ht="14.25" hidden="1" outlineLevel="1">
      <c r="B263" s="95" t="s">
        <v>419</v>
      </c>
      <c r="C263" s="10"/>
      <c r="D263" s="11">
        <v>0</v>
      </c>
      <c r="E263" s="11">
        <v>0</v>
      </c>
      <c r="F263" s="11">
        <v>0</v>
      </c>
      <c r="G263" s="11">
        <v>0</v>
      </c>
      <c r="H263" s="11">
        <v>0</v>
      </c>
      <c r="I263" s="93"/>
      <c r="J263" s="94"/>
      <c r="K263" s="242" t="str">
        <f>VLOOKUP($B263,Secteurs_PQI_OS,2,0)</f>
        <v>-- Choisir un secteur d'activité dans la colonne B --</v>
      </c>
      <c r="L263" s="96"/>
    </row>
    <row r="264" spans="2:12" s="20" customFormat="1" ht="14.25" hidden="1" outlineLevel="1">
      <c r="B264" s="12" t="s">
        <v>234</v>
      </c>
      <c r="C264" s="13"/>
      <c r="D264" s="14"/>
      <c r="E264" s="14"/>
      <c r="F264" s="14"/>
      <c r="G264" s="14"/>
      <c r="H264" s="14"/>
      <c r="I264" s="97"/>
      <c r="J264" s="83"/>
      <c r="K264" s="247"/>
      <c r="L264" s="121"/>
    </row>
    <row r="265" spans="2:12" s="20" customFormat="1" ht="14.25" hidden="1" outlineLevel="1">
      <c r="B265" s="95" t="s">
        <v>419</v>
      </c>
      <c r="C265" s="10"/>
      <c r="D265" s="11">
        <v>0</v>
      </c>
      <c r="E265" s="11">
        <v>0</v>
      </c>
      <c r="F265" s="11">
        <v>0</v>
      </c>
      <c r="G265" s="11">
        <v>0</v>
      </c>
      <c r="H265" s="11">
        <v>0</v>
      </c>
      <c r="I265" s="93"/>
      <c r="J265" s="94"/>
      <c r="K265" s="242" t="str">
        <f>VLOOKUP($B265,Secteurs_PQI_OS,2,0)</f>
        <v>-- Choisir un secteur d'activité dans la colonne B --</v>
      </c>
      <c r="L265" s="96"/>
    </row>
    <row r="266" spans="2:12" s="20" customFormat="1" ht="14.25" hidden="1" outlineLevel="1">
      <c r="B266" s="12" t="s">
        <v>234</v>
      </c>
      <c r="C266" s="13"/>
      <c r="D266" s="14"/>
      <c r="E266" s="14"/>
      <c r="F266" s="14"/>
      <c r="G266" s="14"/>
      <c r="H266" s="14"/>
      <c r="I266" s="97"/>
      <c r="J266" s="83"/>
      <c r="K266" s="247"/>
      <c r="L266" s="121"/>
    </row>
    <row r="267" spans="2:12" s="20" customFormat="1" ht="14.25" hidden="1" outlineLevel="1">
      <c r="B267" s="95" t="s">
        <v>419</v>
      </c>
      <c r="C267" s="10"/>
      <c r="D267" s="11">
        <v>0</v>
      </c>
      <c r="E267" s="11">
        <v>0</v>
      </c>
      <c r="F267" s="11">
        <v>0</v>
      </c>
      <c r="G267" s="11">
        <v>0</v>
      </c>
      <c r="H267" s="11">
        <v>0</v>
      </c>
      <c r="I267" s="93"/>
      <c r="J267" s="94"/>
      <c r="K267" s="242" t="str">
        <f>VLOOKUP($B267,Secteurs_PQI_OS,2,0)</f>
        <v>-- Choisir un secteur d'activité dans la colonne B --</v>
      </c>
      <c r="L267" s="96"/>
    </row>
    <row r="268" spans="2:12" s="20" customFormat="1" ht="14.25" hidden="1" outlineLevel="1">
      <c r="B268" s="12" t="s">
        <v>234</v>
      </c>
      <c r="C268" s="13"/>
      <c r="D268" s="14"/>
      <c r="E268" s="14"/>
      <c r="F268" s="14"/>
      <c r="G268" s="14"/>
      <c r="H268" s="14"/>
      <c r="I268" s="97"/>
      <c r="J268" s="83"/>
      <c r="K268" s="247"/>
      <c r="L268" s="121"/>
    </row>
    <row r="269" spans="2:12" s="20" customFormat="1" ht="14.25" hidden="1" outlineLevel="1">
      <c r="B269" s="95" t="s">
        <v>419</v>
      </c>
      <c r="C269" s="10"/>
      <c r="D269" s="11">
        <v>0</v>
      </c>
      <c r="E269" s="11">
        <v>0</v>
      </c>
      <c r="F269" s="11">
        <v>0</v>
      </c>
      <c r="G269" s="11">
        <v>0</v>
      </c>
      <c r="H269" s="11">
        <v>0</v>
      </c>
      <c r="I269" s="93"/>
      <c r="J269" s="94"/>
      <c r="K269" s="242" t="str">
        <f>VLOOKUP($B269,Secteurs_PQI_OS,2,0)</f>
        <v>-- Choisir un secteur d'activité dans la colonne B --</v>
      </c>
      <c r="L269" s="96"/>
    </row>
    <row r="270" spans="2:12" s="20" customFormat="1" ht="14.25" hidden="1" outlineLevel="1">
      <c r="B270" s="12" t="s">
        <v>234</v>
      </c>
      <c r="C270" s="13"/>
      <c r="D270" s="14"/>
      <c r="E270" s="14"/>
      <c r="F270" s="14"/>
      <c r="G270" s="14"/>
      <c r="H270" s="14"/>
      <c r="I270" s="97"/>
      <c r="J270" s="83"/>
      <c r="K270" s="247"/>
      <c r="L270" s="121"/>
    </row>
    <row r="271" spans="2:12" s="20" customFormat="1" ht="14.25" hidden="1" outlineLevel="1">
      <c r="B271" s="95" t="s">
        <v>419</v>
      </c>
      <c r="C271" s="10"/>
      <c r="D271" s="11">
        <v>0</v>
      </c>
      <c r="E271" s="11">
        <v>0</v>
      </c>
      <c r="F271" s="11">
        <v>0</v>
      </c>
      <c r="G271" s="11">
        <v>0</v>
      </c>
      <c r="H271" s="11">
        <v>0</v>
      </c>
      <c r="I271" s="93"/>
      <c r="J271" s="94"/>
      <c r="K271" s="242" t="str">
        <f>VLOOKUP($B271,Secteurs_PQI_OS,2,0)</f>
        <v>-- Choisir un secteur d'activité dans la colonne B --</v>
      </c>
      <c r="L271" s="96"/>
    </row>
    <row r="272" spans="2:12" s="20" customFormat="1" ht="14.25" hidden="1" outlineLevel="1">
      <c r="B272" s="12" t="s">
        <v>234</v>
      </c>
      <c r="C272" s="13"/>
      <c r="D272" s="14"/>
      <c r="E272" s="14"/>
      <c r="F272" s="14"/>
      <c r="G272" s="14"/>
      <c r="H272" s="14"/>
      <c r="I272" s="97"/>
      <c r="J272" s="83"/>
      <c r="K272" s="247"/>
      <c r="L272" s="121"/>
    </row>
    <row r="273" spans="2:12" s="20" customFormat="1" ht="14.25" hidden="1" outlineLevel="1">
      <c r="B273" s="95" t="s">
        <v>419</v>
      </c>
      <c r="C273" s="10"/>
      <c r="D273" s="11">
        <v>0</v>
      </c>
      <c r="E273" s="11">
        <v>0</v>
      </c>
      <c r="F273" s="11">
        <v>0</v>
      </c>
      <c r="G273" s="11">
        <v>0</v>
      </c>
      <c r="H273" s="11">
        <v>0</v>
      </c>
      <c r="I273" s="93"/>
      <c r="J273" s="94"/>
      <c r="K273" s="242" t="str">
        <f>VLOOKUP($B273,Secteurs_PQI_OS,2,0)</f>
        <v>-- Choisir un secteur d'activité dans la colonne B --</v>
      </c>
      <c r="L273" s="96"/>
    </row>
    <row r="274" spans="2:12" s="20" customFormat="1" ht="14.25" hidden="1" outlineLevel="1">
      <c r="B274" s="12" t="s">
        <v>234</v>
      </c>
      <c r="C274" s="13"/>
      <c r="D274" s="14"/>
      <c r="E274" s="14"/>
      <c r="F274" s="14"/>
      <c r="G274" s="14"/>
      <c r="H274" s="14"/>
      <c r="I274" s="97"/>
      <c r="J274" s="83"/>
      <c r="K274" s="247"/>
      <c r="L274" s="121"/>
    </row>
    <row r="275" spans="2:12" s="20" customFormat="1" ht="14.25" hidden="1" outlineLevel="1">
      <c r="B275" s="95" t="s">
        <v>419</v>
      </c>
      <c r="C275" s="10"/>
      <c r="D275" s="11">
        <v>0</v>
      </c>
      <c r="E275" s="11">
        <v>0</v>
      </c>
      <c r="F275" s="11">
        <v>0</v>
      </c>
      <c r="G275" s="11">
        <v>0</v>
      </c>
      <c r="H275" s="11">
        <v>0</v>
      </c>
      <c r="I275" s="93"/>
      <c r="J275" s="94"/>
      <c r="K275" s="242" t="str">
        <f>VLOOKUP($B275,Secteurs_PQI_OS,2,0)</f>
        <v>-- Choisir un secteur d'activité dans la colonne B --</v>
      </c>
      <c r="L275" s="96"/>
    </row>
    <row r="276" spans="2:12" s="20" customFormat="1" ht="14.25" hidden="1" outlineLevel="1">
      <c r="B276" s="12" t="s">
        <v>234</v>
      </c>
      <c r="C276" s="13"/>
      <c r="D276" s="14"/>
      <c r="E276" s="14"/>
      <c r="F276" s="14"/>
      <c r="G276" s="14"/>
      <c r="H276" s="14"/>
      <c r="I276" s="97"/>
      <c r="J276" s="83"/>
      <c r="K276" s="247"/>
      <c r="L276" s="121"/>
    </row>
    <row r="277" spans="2:12" s="20" customFormat="1" ht="14.25" hidden="1" outlineLevel="1">
      <c r="B277" s="95" t="s">
        <v>419</v>
      </c>
      <c r="C277" s="10"/>
      <c r="D277" s="11">
        <v>0</v>
      </c>
      <c r="E277" s="11">
        <v>0</v>
      </c>
      <c r="F277" s="11">
        <v>0</v>
      </c>
      <c r="G277" s="11">
        <v>0</v>
      </c>
      <c r="H277" s="11">
        <v>0</v>
      </c>
      <c r="I277" s="93"/>
      <c r="J277" s="94"/>
      <c r="K277" s="242" t="str">
        <f>VLOOKUP($B277,Secteurs_PQI_OS,2,0)</f>
        <v>-- Choisir un secteur d'activité dans la colonne B --</v>
      </c>
      <c r="L277" s="96"/>
    </row>
    <row r="278" spans="2:12" s="20" customFormat="1" ht="14.25" hidden="1" outlineLevel="1">
      <c r="B278" s="12" t="s">
        <v>234</v>
      </c>
      <c r="C278" s="13"/>
      <c r="D278" s="14"/>
      <c r="E278" s="14"/>
      <c r="F278" s="14"/>
      <c r="G278" s="14"/>
      <c r="H278" s="14"/>
      <c r="I278" s="97"/>
      <c r="J278" s="83"/>
      <c r="K278" s="247"/>
      <c r="L278" s="121"/>
    </row>
    <row r="279" spans="2:12" s="20" customFormat="1" ht="14.25" hidden="1" outlineLevel="1">
      <c r="B279" s="95" t="s">
        <v>419</v>
      </c>
      <c r="C279" s="10"/>
      <c r="D279" s="11">
        <v>0</v>
      </c>
      <c r="E279" s="11">
        <v>0</v>
      </c>
      <c r="F279" s="11">
        <v>0</v>
      </c>
      <c r="G279" s="11">
        <v>0</v>
      </c>
      <c r="H279" s="11">
        <v>0</v>
      </c>
      <c r="I279" s="93"/>
      <c r="J279" s="94"/>
      <c r="K279" s="242" t="str">
        <f>VLOOKUP($B279,Secteurs_PQI_OS,2,0)</f>
        <v>-- Choisir un secteur d'activité dans la colonne B --</v>
      </c>
      <c r="L279" s="96"/>
    </row>
    <row r="280" spans="2:12" s="20" customFormat="1" ht="14.25" hidden="1" outlineLevel="1">
      <c r="B280" s="12" t="s">
        <v>234</v>
      </c>
      <c r="C280" s="13"/>
      <c r="D280" s="14"/>
      <c r="E280" s="14"/>
      <c r="F280" s="14"/>
      <c r="G280" s="14"/>
      <c r="H280" s="14"/>
      <c r="I280" s="97"/>
      <c r="J280" s="83"/>
      <c r="K280" s="247"/>
      <c r="L280" s="121"/>
    </row>
    <row r="281" spans="2:12" s="20" customFormat="1" ht="14.25" hidden="1" outlineLevel="1">
      <c r="B281" s="95" t="s">
        <v>419</v>
      </c>
      <c r="C281" s="10"/>
      <c r="D281" s="11">
        <v>0</v>
      </c>
      <c r="E281" s="11">
        <v>0</v>
      </c>
      <c r="F281" s="11">
        <v>0</v>
      </c>
      <c r="G281" s="11">
        <v>0</v>
      </c>
      <c r="H281" s="11">
        <v>0</v>
      </c>
      <c r="I281" s="93"/>
      <c r="J281" s="94"/>
      <c r="K281" s="242" t="str">
        <f>VLOOKUP($B281,Secteurs_PQI_OS,2,0)</f>
        <v>-- Choisir un secteur d'activité dans la colonne B --</v>
      </c>
      <c r="L281" s="96"/>
    </row>
    <row r="282" spans="2:12" s="20" customFormat="1" ht="14.25" hidden="1" outlineLevel="1">
      <c r="B282" s="12" t="s">
        <v>234</v>
      </c>
      <c r="C282" s="13"/>
      <c r="D282" s="14"/>
      <c r="E282" s="14"/>
      <c r="F282" s="14"/>
      <c r="G282" s="14"/>
      <c r="H282" s="14"/>
      <c r="I282" s="97"/>
      <c r="J282" s="83"/>
      <c r="K282" s="247"/>
      <c r="L282" s="121"/>
    </row>
    <row r="283" spans="2:12" s="20" customFormat="1" ht="14.25" hidden="1" outlineLevel="1">
      <c r="B283" s="95" t="s">
        <v>419</v>
      </c>
      <c r="C283" s="10"/>
      <c r="D283" s="11">
        <v>0</v>
      </c>
      <c r="E283" s="11">
        <v>0</v>
      </c>
      <c r="F283" s="11">
        <v>0</v>
      </c>
      <c r="G283" s="11">
        <v>0</v>
      </c>
      <c r="H283" s="11">
        <v>0</v>
      </c>
      <c r="I283" s="93"/>
      <c r="J283" s="94"/>
      <c r="K283" s="242" t="str">
        <f>VLOOKUP($B283,Secteurs_PQI_OS,2,0)</f>
        <v>-- Choisir un secteur d'activité dans la colonne B --</v>
      </c>
      <c r="L283" s="96"/>
    </row>
    <row r="284" spans="2:12" s="20" customFormat="1" ht="14.25" hidden="1" outlineLevel="1">
      <c r="B284" s="12" t="s">
        <v>234</v>
      </c>
      <c r="C284" s="13"/>
      <c r="D284" s="14"/>
      <c r="E284" s="14"/>
      <c r="F284" s="14"/>
      <c r="G284" s="14"/>
      <c r="H284" s="14"/>
      <c r="I284" s="97"/>
      <c r="J284" s="83"/>
      <c r="K284" s="247"/>
      <c r="L284" s="121"/>
    </row>
    <row r="285" spans="2:12" s="20" customFormat="1" ht="14.25" hidden="1" outlineLevel="1">
      <c r="B285" s="95" t="s">
        <v>419</v>
      </c>
      <c r="C285" s="10"/>
      <c r="D285" s="11">
        <v>0</v>
      </c>
      <c r="E285" s="11">
        <v>0</v>
      </c>
      <c r="F285" s="11">
        <v>0</v>
      </c>
      <c r="G285" s="11">
        <v>0</v>
      </c>
      <c r="H285" s="11">
        <v>0</v>
      </c>
      <c r="I285" s="93"/>
      <c r="J285" s="94"/>
      <c r="K285" s="242" t="str">
        <f>VLOOKUP($B285,Secteurs_PQI_OS,2,0)</f>
        <v>-- Choisir un secteur d'activité dans la colonne B --</v>
      </c>
      <c r="L285" s="96"/>
    </row>
    <row r="286" spans="2:12" s="20" customFormat="1" ht="14.25" hidden="1" outlineLevel="1">
      <c r="B286" s="12" t="s">
        <v>234</v>
      </c>
      <c r="C286" s="13"/>
      <c r="D286" s="14"/>
      <c r="E286" s="14"/>
      <c r="F286" s="14"/>
      <c r="G286" s="14"/>
      <c r="H286" s="14"/>
      <c r="I286" s="97"/>
      <c r="J286" s="83"/>
      <c r="K286" s="247"/>
      <c r="L286" s="121"/>
    </row>
    <row r="287" spans="2:12" s="20" customFormat="1" ht="14.25" hidden="1" outlineLevel="1">
      <c r="B287" s="95" t="s">
        <v>419</v>
      </c>
      <c r="C287" s="10"/>
      <c r="D287" s="11">
        <v>0</v>
      </c>
      <c r="E287" s="11">
        <v>0</v>
      </c>
      <c r="F287" s="11">
        <v>0</v>
      </c>
      <c r="G287" s="11">
        <v>0</v>
      </c>
      <c r="H287" s="11">
        <v>0</v>
      </c>
      <c r="I287" s="93"/>
      <c r="J287" s="94"/>
      <c r="K287" s="242" t="str">
        <f>VLOOKUP($B287,Secteurs_PQI_OS,2,0)</f>
        <v>-- Choisir un secteur d'activité dans la colonne B --</v>
      </c>
      <c r="L287" s="96"/>
    </row>
    <row r="288" spans="2:12" s="20" customFormat="1" ht="14.25" hidden="1" outlineLevel="1">
      <c r="B288" s="12" t="s">
        <v>234</v>
      </c>
      <c r="C288" s="13"/>
      <c r="D288" s="14"/>
      <c r="E288" s="14"/>
      <c r="F288" s="14"/>
      <c r="G288" s="14"/>
      <c r="H288" s="14"/>
      <c r="I288" s="97"/>
      <c r="J288" s="83"/>
      <c r="K288" s="247"/>
      <c r="L288" s="121"/>
    </row>
    <row r="289" spans="1:12" s="20" customFormat="1" ht="14.25" hidden="1" outlineLevel="1">
      <c r="B289" s="95" t="s">
        <v>419</v>
      </c>
      <c r="C289" s="10"/>
      <c r="D289" s="11">
        <v>0</v>
      </c>
      <c r="E289" s="11">
        <v>0</v>
      </c>
      <c r="F289" s="11">
        <v>0</v>
      </c>
      <c r="G289" s="11">
        <v>0</v>
      </c>
      <c r="H289" s="11">
        <v>0</v>
      </c>
      <c r="I289" s="93"/>
      <c r="J289" s="94"/>
      <c r="K289" s="242" t="str">
        <f>VLOOKUP($B289,Secteurs_PQI_OS,2,0)</f>
        <v>-- Choisir un secteur d'activité dans la colonne B --</v>
      </c>
      <c r="L289" s="96"/>
    </row>
    <row r="290" spans="1:12" s="20" customFormat="1" ht="14.25" hidden="1" outlineLevel="1">
      <c r="B290" s="12" t="s">
        <v>234</v>
      </c>
      <c r="C290" s="13"/>
      <c r="D290" s="14"/>
      <c r="E290" s="14"/>
      <c r="F290" s="14"/>
      <c r="G290" s="14"/>
      <c r="H290" s="14"/>
      <c r="I290" s="97"/>
      <c r="J290" s="83"/>
      <c r="K290" s="247"/>
      <c r="L290" s="121"/>
    </row>
    <row r="291" spans="1:12" s="20" customFormat="1" ht="14.25" hidden="1" outlineLevel="1">
      <c r="B291" s="95" t="s">
        <v>419</v>
      </c>
      <c r="C291" s="10"/>
      <c r="D291" s="11">
        <v>0</v>
      </c>
      <c r="E291" s="11">
        <v>0</v>
      </c>
      <c r="F291" s="11">
        <v>0</v>
      </c>
      <c r="G291" s="11">
        <v>0</v>
      </c>
      <c r="H291" s="11">
        <v>0</v>
      </c>
      <c r="I291" s="93"/>
      <c r="J291" s="94"/>
      <c r="K291" s="242" t="str">
        <f>VLOOKUP($B291,Secteurs_PQI_OS,2,0)</f>
        <v>-- Choisir un secteur d'activité dans la colonne B --</v>
      </c>
      <c r="L291" s="96"/>
    </row>
    <row r="292" spans="1:12" s="20" customFormat="1" ht="14.25" hidden="1" outlineLevel="1">
      <c r="B292" s="12" t="s">
        <v>234</v>
      </c>
      <c r="C292" s="13"/>
      <c r="D292" s="14"/>
      <c r="E292" s="14"/>
      <c r="F292" s="14"/>
      <c r="G292" s="14"/>
      <c r="H292" s="14"/>
      <c r="I292" s="97"/>
      <c r="J292" s="83"/>
      <c r="K292" s="247"/>
      <c r="L292" s="121"/>
    </row>
    <row r="293" spans="1:12" s="20" customFormat="1" ht="14.25" hidden="1" outlineLevel="1">
      <c r="B293" s="95" t="s">
        <v>419</v>
      </c>
      <c r="C293" s="10"/>
      <c r="D293" s="11">
        <v>0</v>
      </c>
      <c r="E293" s="11">
        <v>0</v>
      </c>
      <c r="F293" s="11">
        <v>0</v>
      </c>
      <c r="G293" s="11">
        <v>0</v>
      </c>
      <c r="H293" s="11">
        <v>0</v>
      </c>
      <c r="I293" s="93"/>
      <c r="J293" s="94"/>
      <c r="K293" s="242" t="str">
        <f>VLOOKUP($B293,Secteurs_PQI_OS,2,0)</f>
        <v>-- Choisir un secteur d'activité dans la colonne B --</v>
      </c>
      <c r="L293" s="96"/>
    </row>
    <row r="294" spans="1:12" s="20" customFormat="1" ht="14.25" hidden="1" outlineLevel="1">
      <c r="B294" s="12" t="s">
        <v>234</v>
      </c>
      <c r="C294" s="13"/>
      <c r="D294" s="14"/>
      <c r="E294" s="14"/>
      <c r="F294" s="14"/>
      <c r="G294" s="14"/>
      <c r="H294" s="14"/>
      <c r="I294" s="97"/>
      <c r="J294" s="83"/>
      <c r="K294" s="247"/>
      <c r="L294" s="121"/>
    </row>
    <row r="295" spans="1:12" s="20" customFormat="1" ht="14.25" hidden="1" outlineLevel="1">
      <c r="B295" s="95" t="s">
        <v>419</v>
      </c>
      <c r="C295" s="10"/>
      <c r="D295" s="11">
        <v>0</v>
      </c>
      <c r="E295" s="11">
        <v>0</v>
      </c>
      <c r="F295" s="11">
        <v>0</v>
      </c>
      <c r="G295" s="11">
        <v>0</v>
      </c>
      <c r="H295" s="11">
        <v>0</v>
      </c>
      <c r="I295" s="93"/>
      <c r="J295" s="94"/>
      <c r="K295" s="242" t="str">
        <f>VLOOKUP($B295,Secteurs_PQI_OS,2,0)</f>
        <v>-- Choisir un secteur d'activité dans la colonne B --</v>
      </c>
      <c r="L295" s="96"/>
    </row>
    <row r="296" spans="1:12" s="20" customFormat="1" ht="14.25" collapsed="1">
      <c r="B296" s="12" t="s">
        <v>210</v>
      </c>
      <c r="C296" s="117"/>
      <c r="D296" s="14"/>
      <c r="E296" s="14"/>
      <c r="F296" s="14"/>
      <c r="G296" s="14"/>
      <c r="H296" s="14"/>
      <c r="I296" s="97"/>
      <c r="J296" s="83"/>
      <c r="K296" s="100"/>
      <c r="L296" s="121"/>
    </row>
    <row r="297" spans="1:12" s="20" customFormat="1" ht="3.75" customHeight="1">
      <c r="B297" s="82"/>
      <c r="C297" s="82"/>
      <c r="D297" s="90"/>
      <c r="E297" s="90"/>
      <c r="F297" s="90"/>
      <c r="G297" s="90"/>
      <c r="H297" s="90"/>
      <c r="I297" s="82"/>
      <c r="J297" s="83"/>
      <c r="K297" s="88"/>
      <c r="L297" s="88"/>
    </row>
    <row r="298" spans="1:12" s="20" customFormat="1" ht="25.5">
      <c r="B298" s="116" t="s">
        <v>218</v>
      </c>
      <c r="C298" s="117"/>
      <c r="D298" s="118">
        <f>SUM(D217:D297)</f>
        <v>0</v>
      </c>
      <c r="E298" s="118">
        <f>SUM(E217:E297)</f>
        <v>0</v>
      </c>
      <c r="F298" s="118">
        <f>SUM(F217:F297)</f>
        <v>0</v>
      </c>
      <c r="G298" s="118">
        <f>SUM(G217:G297)</f>
        <v>0</v>
      </c>
      <c r="H298" s="118">
        <f>SUM(H217:H297)</f>
        <v>0</v>
      </c>
      <c r="I298" s="119"/>
      <c r="J298" s="120"/>
      <c r="K298" s="121"/>
      <c r="L298" s="121"/>
    </row>
    <row r="299" spans="1:12" s="20" customFormat="1" ht="7.5" customHeight="1">
      <c r="B299" s="116"/>
      <c r="C299" s="117"/>
      <c r="D299" s="184"/>
      <c r="E299" s="184"/>
      <c r="F299" s="184"/>
      <c r="G299" s="184"/>
      <c r="H299" s="184"/>
      <c r="I299" s="119"/>
      <c r="J299" s="120"/>
      <c r="K299" s="121"/>
      <c r="L299" s="121"/>
    </row>
    <row r="300" spans="1:12" s="20" customFormat="1" ht="14.25">
      <c r="B300" s="116" t="s">
        <v>204</v>
      </c>
      <c r="C300" s="117"/>
      <c r="D300" s="185">
        <f>SUM(D93,D214,D298)</f>
        <v>0</v>
      </c>
      <c r="E300" s="185">
        <f>SUM(E93,E214,E298)</f>
        <v>0</v>
      </c>
      <c r="F300" s="185">
        <f>SUM(F93,F214,F298)</f>
        <v>0</v>
      </c>
      <c r="G300" s="185">
        <f>SUM(G93,G214,G298)</f>
        <v>0</v>
      </c>
      <c r="H300" s="185">
        <f>SUM(H93,H214,H298)</f>
        <v>0</v>
      </c>
      <c r="I300" s="119"/>
      <c r="J300" s="120"/>
      <c r="K300" s="121"/>
      <c r="L300" s="121"/>
    </row>
    <row r="301" spans="1:12" s="20" customFormat="1" ht="7.5" customHeight="1">
      <c r="B301" s="116"/>
      <c r="C301" s="117"/>
      <c r="D301" s="184"/>
      <c r="E301" s="184"/>
      <c r="F301" s="184"/>
      <c r="G301" s="184"/>
      <c r="H301" s="184"/>
      <c r="I301" s="119"/>
      <c r="J301" s="120"/>
      <c r="K301" s="121"/>
      <c r="L301" s="121"/>
    </row>
    <row r="302" spans="1:12" s="20" customFormat="1" ht="27">
      <c r="B302" s="101" t="s">
        <v>142</v>
      </c>
      <c r="C302" s="102"/>
      <c r="D302" s="103"/>
      <c r="E302" s="103"/>
      <c r="F302" s="103"/>
      <c r="G302" s="103"/>
      <c r="H302" s="103"/>
      <c r="I302" s="102"/>
      <c r="J302" s="83"/>
      <c r="K302" s="88"/>
      <c r="L302" s="125" t="s">
        <v>232</v>
      </c>
    </row>
    <row r="303" spans="1:12" s="20" customFormat="1" ht="14.25">
      <c r="A303" s="188"/>
      <c r="B303" s="189" t="s">
        <v>429</v>
      </c>
      <c r="C303" s="190"/>
      <c r="D303" s="191">
        <v>0</v>
      </c>
      <c r="E303" s="191">
        <v>0</v>
      </c>
      <c r="F303" s="191">
        <v>0</v>
      </c>
      <c r="G303" s="191">
        <v>0</v>
      </c>
      <c r="H303" s="191">
        <v>0</v>
      </c>
      <c r="I303" s="192"/>
      <c r="J303" s="193"/>
      <c r="K303" s="194" t="s">
        <v>186</v>
      </c>
      <c r="L303" s="195"/>
    </row>
    <row r="304" spans="1:12" s="20" customFormat="1" ht="14.25">
      <c r="B304" s="104" t="s">
        <v>430</v>
      </c>
      <c r="C304" s="105"/>
      <c r="D304" s="15">
        <v>0</v>
      </c>
      <c r="E304" s="15">
        <v>0</v>
      </c>
      <c r="F304" s="15">
        <v>0</v>
      </c>
      <c r="G304" s="15">
        <v>0</v>
      </c>
      <c r="H304" s="15">
        <v>0</v>
      </c>
      <c r="I304" s="102"/>
      <c r="J304" s="83"/>
      <c r="K304" s="187" t="s">
        <v>184</v>
      </c>
      <c r="L304" s="88"/>
    </row>
    <row r="305" spans="1:12" s="20" customFormat="1" ht="27">
      <c r="A305" s="188"/>
      <c r="B305" s="189" t="s">
        <v>431</v>
      </c>
      <c r="C305" s="190"/>
      <c r="D305" s="191">
        <v>0</v>
      </c>
      <c r="E305" s="191">
        <v>0</v>
      </c>
      <c r="F305" s="191">
        <v>0</v>
      </c>
      <c r="G305" s="191">
        <v>0</v>
      </c>
      <c r="H305" s="191">
        <v>0</v>
      </c>
      <c r="I305" s="192"/>
      <c r="J305" s="193"/>
      <c r="K305" s="194" t="s">
        <v>141</v>
      </c>
      <c r="L305" s="195"/>
    </row>
    <row r="306" spans="1:12" s="20" customFormat="1" ht="3.75" customHeight="1">
      <c r="B306" s="104"/>
      <c r="C306" s="105"/>
      <c r="D306" s="15"/>
      <c r="E306" s="15"/>
      <c r="F306" s="15"/>
      <c r="G306" s="15"/>
      <c r="H306" s="15"/>
      <c r="I306" s="102"/>
      <c r="J306" s="83"/>
      <c r="K306" s="121"/>
      <c r="L306" s="88"/>
    </row>
    <row r="307" spans="1:12" s="20" customFormat="1" ht="14.25">
      <c r="B307" s="147" t="s">
        <v>37</v>
      </c>
      <c r="C307" s="105"/>
      <c r="D307" s="146">
        <f>SUM(D303:D305)</f>
        <v>0</v>
      </c>
      <c r="E307" s="146">
        <f t="shared" ref="E307:G307" si="1">SUM(E303:E305)</f>
        <v>0</v>
      </c>
      <c r="F307" s="146">
        <f t="shared" si="1"/>
        <v>0</v>
      </c>
      <c r="G307" s="146">
        <f t="shared" si="1"/>
        <v>0</v>
      </c>
      <c r="H307" s="146">
        <f>SUM(H303:H305)</f>
        <v>0</v>
      </c>
      <c r="I307" s="102"/>
      <c r="J307" s="83"/>
      <c r="K307" s="121"/>
      <c r="L307" s="88"/>
    </row>
    <row r="308" spans="1:12" s="20" customFormat="1" ht="7.5" customHeight="1">
      <c r="B308" s="147"/>
      <c r="C308" s="105"/>
      <c r="D308" s="148"/>
      <c r="E308" s="148"/>
      <c r="F308" s="148"/>
      <c r="G308" s="148"/>
      <c r="H308" s="148"/>
      <c r="I308" s="102"/>
      <c r="J308" s="83"/>
      <c r="K308" s="121"/>
      <c r="L308" s="88"/>
    </row>
    <row r="309" spans="1:12" s="20" customFormat="1" ht="15.75" thickBot="1">
      <c r="B309" s="112" t="s">
        <v>38</v>
      </c>
      <c r="C309" s="113"/>
      <c r="D309" s="114">
        <f>SUM(D307,D300,D49)</f>
        <v>0</v>
      </c>
      <c r="E309" s="114">
        <f>SUM(E307,E300,E49)</f>
        <v>0</v>
      </c>
      <c r="F309" s="114">
        <f>SUM(F307,F300,F49)</f>
        <v>0</v>
      </c>
      <c r="G309" s="114">
        <f>SUM(G307,G300,G49)</f>
        <v>0</v>
      </c>
      <c r="H309" s="114">
        <f>SUM(H307,H300,H49)</f>
        <v>0</v>
      </c>
      <c r="I309" s="115"/>
      <c r="J309" s="43"/>
    </row>
    <row r="310" spans="1:12" s="20" customFormat="1" ht="15">
      <c r="B310" s="107"/>
      <c r="C310" s="78"/>
      <c r="D310"/>
      <c r="E310"/>
      <c r="F310"/>
      <c r="G310"/>
      <c r="H310"/>
      <c r="I310"/>
      <c r="J310" s="43"/>
    </row>
    <row r="311" spans="1:12" s="20" customFormat="1" ht="16.5" customHeight="1">
      <c r="B311" s="396" t="s">
        <v>366</v>
      </c>
      <c r="C311" s="396"/>
      <c r="D311" s="396"/>
      <c r="E311" s="396"/>
      <c r="F311" s="396"/>
      <c r="G311" s="396"/>
      <c r="H311" s="396"/>
      <c r="I311" s="396"/>
      <c r="J311" s="43"/>
    </row>
    <row r="312" spans="1:12" s="20" customFormat="1" ht="16.5" thickBot="1">
      <c r="B312" s="398" t="s">
        <v>385</v>
      </c>
      <c r="C312" s="398"/>
      <c r="D312" s="398"/>
      <c r="E312" s="398"/>
      <c r="F312" s="398"/>
      <c r="G312" s="399"/>
      <c r="H312" s="36"/>
      <c r="I312" s="36"/>
      <c r="J312" s="43"/>
    </row>
    <row r="313" spans="1:12" s="20" customFormat="1" ht="15">
      <c r="B313" s="44"/>
      <c r="C313" s="45" t="str">
        <f t="shared" ref="C313:H313" si="2">C5</f>
        <v>2025-2026</v>
      </c>
      <c r="D313" s="45" t="str">
        <f t="shared" si="2"/>
        <v>2026-2027</v>
      </c>
      <c r="E313" s="45" t="str">
        <f t="shared" si="2"/>
        <v>2027-2028</v>
      </c>
      <c r="F313" s="45" t="str">
        <f t="shared" si="2"/>
        <v>2028-2029</v>
      </c>
      <c r="G313" s="45" t="str">
        <f t="shared" si="2"/>
        <v>2029-2030</v>
      </c>
      <c r="H313" s="45" t="str">
        <f t="shared" si="2"/>
        <v>2030-2031</v>
      </c>
      <c r="I313" s="45"/>
      <c r="J313" s="43"/>
    </row>
    <row r="314" spans="1:12" s="20" customFormat="1" ht="27">
      <c r="B314" s="159" t="s">
        <v>229</v>
      </c>
      <c r="C314" s="155"/>
      <c r="D314" s="158">
        <v>4.3999999999999997E-2</v>
      </c>
      <c r="E314" s="158">
        <v>4.3999999999999997E-2</v>
      </c>
      <c r="F314" s="158">
        <v>4.3999999999999997E-2</v>
      </c>
      <c r="G314" s="158">
        <v>4.3999999999999997E-2</v>
      </c>
      <c r="H314" s="158">
        <v>4.3999999999999997E-2</v>
      </c>
      <c r="I314" s="158"/>
      <c r="J314" s="43"/>
    </row>
    <row r="315" spans="1:12" s="20" customFormat="1" ht="15">
      <c r="B315" s="257" t="s">
        <v>369</v>
      </c>
      <c r="C315" s="258"/>
      <c r="D315" s="259">
        <v>4.3999999999999997E-2</v>
      </c>
      <c r="E315" s="259">
        <v>4.3999999999999997E-2</v>
      </c>
      <c r="F315" s="259">
        <v>4.3999999999999997E-2</v>
      </c>
      <c r="G315" s="259">
        <v>4.3999999999999997E-2</v>
      </c>
      <c r="H315" s="259">
        <v>4.3999999999999997E-2</v>
      </c>
      <c r="I315" s="158"/>
      <c r="J315" s="43"/>
    </row>
    <row r="316" spans="1:12" s="20" customFormat="1" ht="26.25">
      <c r="B316" s="156" t="s">
        <v>143</v>
      </c>
      <c r="C316" s="157">
        <f>'2_C_Financier'!D51</f>
        <v>-10148</v>
      </c>
      <c r="D316" s="157">
        <f>'2_C_Financier'!E51</f>
        <v>-10516</v>
      </c>
      <c r="E316" s="157">
        <f>'2_C_Financier'!F51</f>
        <v>-10870</v>
      </c>
      <c r="F316" s="157">
        <f>'2_C_Financier'!G51</f>
        <v>-11402</v>
      </c>
      <c r="G316" s="157">
        <f>'2_C_Financier'!H51</f>
        <v>-11860</v>
      </c>
      <c r="H316" s="157">
        <f>'2_C_Financier'!I51</f>
        <v>-12749</v>
      </c>
      <c r="I316" s="207"/>
      <c r="J316" s="43"/>
    </row>
    <row r="317" spans="1:12" s="20" customFormat="1" ht="27">
      <c r="B317" s="137" t="s">
        <v>206</v>
      </c>
      <c r="C317" s="77"/>
      <c r="D317" s="138">
        <f>ROUND((SUMIFS(D$52:D$91,$K$52:$K$91,'7-ResulatsSimulation'!$B$47)),6)</f>
        <v>0</v>
      </c>
      <c r="E317" s="138">
        <f>ROUND((SUMIFS(E$52:E$91,$K$52:$K$91,'7-ResulatsSimulation'!$B$47)),6)</f>
        <v>0</v>
      </c>
      <c r="F317" s="138">
        <f>ROUND((SUMIFS(F$52:F$91,$K$52:$K$91,'7-ResulatsSimulation'!$B$47)),6)</f>
        <v>0</v>
      </c>
      <c r="G317" s="138">
        <f>ROUND((SUMIFS(G$52:G$91,$K$52:$K$91,'7-ResulatsSimulation'!$B$47)),6)</f>
        <v>0</v>
      </c>
      <c r="H317" s="138">
        <f>ROUND((SUMIFS(H$52:H$91,$K$52:$K$91,'7-ResulatsSimulation'!$B$47)),6)</f>
        <v>0</v>
      </c>
      <c r="I317" s="138"/>
      <c r="J317" s="43"/>
      <c r="K317" s="186"/>
    </row>
    <row r="318" spans="1:12" s="20" customFormat="1" ht="27">
      <c r="B318" s="137" t="s">
        <v>205</v>
      </c>
      <c r="C318" s="138"/>
      <c r="D318" s="138">
        <f>ROUND((D309-SUMIFS(D$52:D$91,$K$52:$K$91,'7-ResulatsSimulation'!$B$47))*D314,6)</f>
        <v>0</v>
      </c>
      <c r="E318" s="138">
        <f>ROUND((D309-SUMIFS(D$52:D$91,$K$52:$K$91,'7-ResulatsSimulation'!$B$47))*D314,6)+ROUND((E309-SUMIFS(E$52:E$91,$K$52:$K$91,'7-ResulatsSimulation'!$B$47))*E314,6)</f>
        <v>0</v>
      </c>
      <c r="F318" s="138">
        <f>ROUND((D309-SUMIFS(D$52:D$91,$K$52:$K$91,'7-ResulatsSimulation'!$B$47))*D314,6)+ROUND((E309-SUMIFS(E$52:E$91,$K$52:$K$91,'7-ResulatsSimulation'!$B$47))*E314,6)+ROUND((F309-SUMIFS(F$52:F$91,$K$52:$K$91,'7-ResulatsSimulation'!$B$47))*F314,6)</f>
        <v>0</v>
      </c>
      <c r="G318" s="138">
        <f>ROUND((D309-SUMIFS(D$52:D$91,$K$52:$K$91,'7-ResulatsSimulation'!$B$47))*D314,6)+ROUND((E309-SUMIFS(E$52:E$91,$K$52:$K$91,'7-ResulatsSimulation'!$B$47))*E314,6)+ROUND((F309-SUMIFS(F$52:F$91,$K$52:$K$91,'7-ResulatsSimulation'!$B$47))*F314,6)+ROUND((G309-SUMIFS(G$52:G$91,$K$52:$K$91,'7-ResulatsSimulation'!$B$47))*G314,6)</f>
        <v>0</v>
      </c>
      <c r="H318" s="138">
        <f>ROUND((D309-SUMIFS(D$52:D$91,$K$52:$K$91,'7-ResulatsSimulation'!$B$47))*D314,6)+ROUND((E309-SUMIFS(E$52:E$91,$K$52:$K$91,'7-ResulatsSimulation'!$B$47))*E314,6)+ROUND((F309-SUMIFS(F$52:F$91,$K$52:$K$91,'7-ResulatsSimulation'!$B$47))*F314,6)+ROUND((G309-SUMIFS(G$52:G$91,$K$52:$K$91,'7-ResulatsSimulation'!$B$47))*G314,6)+ROUND((H309-SUMIFS(H$52:H$91,$K$52:$K$91,'7-ResulatsSimulation'!$B$47))*H314,6)</f>
        <v>0</v>
      </c>
      <c r="I318" s="138"/>
      <c r="J318" s="43"/>
      <c r="K318" s="186"/>
    </row>
    <row r="319" spans="1:12" s="20" customFormat="1" ht="27">
      <c r="B319" s="137" t="s">
        <v>370</v>
      </c>
      <c r="C319" s="138"/>
      <c r="D319" s="138">
        <f>ROUND((-'7-ResulatsSimulation'!E81)*D314,6)</f>
        <v>0</v>
      </c>
      <c r="E319" s="138">
        <f>ROUND((-'7-ResulatsSimulation'!F81)*E314,6)+D319</f>
        <v>0</v>
      </c>
      <c r="F319" s="138">
        <f>ROUND((-'7-ResulatsSimulation'!G81)*F314,6)+E319</f>
        <v>0</v>
      </c>
      <c r="G319" s="138">
        <f>ROUND((-'7-ResulatsSimulation'!H81)*G314,6)+F319</f>
        <v>0</v>
      </c>
      <c r="H319" s="138">
        <f>ROUND((-'7-ResulatsSimulation'!I81)*H314,6)+G319</f>
        <v>0</v>
      </c>
      <c r="I319" s="138"/>
      <c r="J319" s="43"/>
      <c r="K319" s="39"/>
    </row>
    <row r="320" spans="1:12" s="20" customFormat="1" ht="26.25">
      <c r="B320" s="156" t="s">
        <v>145</v>
      </c>
      <c r="C320" s="157"/>
      <c r="D320" s="157">
        <f>ROUND(SUM(D317:D319),0)</f>
        <v>0</v>
      </c>
      <c r="E320" s="157">
        <f t="shared" ref="E320:H320" si="3">ROUND(SUM(E317:E319),0)</f>
        <v>0</v>
      </c>
      <c r="F320" s="157">
        <f t="shared" si="3"/>
        <v>0</v>
      </c>
      <c r="G320" s="157">
        <f t="shared" si="3"/>
        <v>0</v>
      </c>
      <c r="H320" s="157">
        <f t="shared" si="3"/>
        <v>0</v>
      </c>
      <c r="I320" s="157"/>
      <c r="J320" s="43"/>
    </row>
    <row r="321" spans="1:14" s="20" customFormat="1" ht="15.75" thickBot="1">
      <c r="B321" s="34" t="s">
        <v>146</v>
      </c>
      <c r="C321" s="35">
        <f t="shared" ref="C321:H321" si="4">C316+C320</f>
        <v>-10148</v>
      </c>
      <c r="D321" s="35">
        <f t="shared" si="4"/>
        <v>-10516</v>
      </c>
      <c r="E321" s="35">
        <f t="shared" si="4"/>
        <v>-10870</v>
      </c>
      <c r="F321" s="35">
        <f t="shared" si="4"/>
        <v>-11402</v>
      </c>
      <c r="G321" s="35">
        <f t="shared" si="4"/>
        <v>-11860</v>
      </c>
      <c r="H321" s="35">
        <f t="shared" si="4"/>
        <v>-12749</v>
      </c>
      <c r="I321" s="35"/>
      <c r="J321" s="43"/>
    </row>
    <row r="322" spans="1:14" s="20" customFormat="1" ht="15.75" thickBot="1">
      <c r="B322" s="107"/>
      <c r="C322" s="78"/>
      <c r="D322"/>
      <c r="E322"/>
      <c r="F322"/>
      <c r="G322"/>
      <c r="H322"/>
      <c r="I322"/>
      <c r="J322" s="43"/>
    </row>
    <row r="323" spans="1:14" s="20" customFormat="1" ht="233.25" customHeight="1">
      <c r="B323" s="436" t="s">
        <v>425</v>
      </c>
      <c r="C323" s="436"/>
      <c r="D323" s="436"/>
      <c r="E323" s="436"/>
      <c r="F323" s="436"/>
      <c r="G323" s="436"/>
      <c r="H323" s="436"/>
      <c r="I323" s="436"/>
      <c r="J323" s="43"/>
      <c r="K323" s="433" t="s">
        <v>423</v>
      </c>
      <c r="L323" s="433"/>
    </row>
    <row r="324" spans="1:14" s="20" customFormat="1" ht="15">
      <c r="B324" s="260"/>
      <c r="C324" s="260"/>
      <c r="D324" s="260"/>
      <c r="E324" s="260"/>
      <c r="F324" s="260"/>
      <c r="G324" s="260"/>
      <c r="H324" s="260"/>
      <c r="I324" s="260"/>
      <c r="J324" s="43"/>
      <c r="K324" s="260"/>
      <c r="L324" s="260"/>
    </row>
    <row r="325" spans="1:14" ht="12.95" customHeight="1">
      <c r="A325" s="265"/>
      <c r="B325" s="265"/>
      <c r="C325" s="265"/>
      <c r="D325" s="265"/>
      <c r="E325" s="265"/>
      <c r="F325" s="265"/>
      <c r="G325" s="265"/>
      <c r="H325" s="265"/>
      <c r="I325" s="265"/>
      <c r="J325" s="265"/>
      <c r="K325" s="265"/>
      <c r="L325" s="265"/>
      <c r="M325" s="265"/>
      <c r="N325" s="265"/>
    </row>
    <row r="326" spans="1:14" s="20" customFormat="1" ht="6.75" customHeight="1">
      <c r="B326" s="110"/>
      <c r="C326" s="110"/>
      <c r="D326" s="110"/>
      <c r="E326" s="110"/>
      <c r="F326" s="110"/>
      <c r="G326" s="110"/>
      <c r="H326" s="110"/>
      <c r="I326" s="110"/>
      <c r="J326" s="43"/>
    </row>
    <row r="327" spans="1:14" ht="13.5">
      <c r="M327" s="20"/>
    </row>
    <row r="328" spans="1:14" ht="13.5">
      <c r="B328" s="107"/>
      <c r="C328" s="78"/>
      <c r="M328" s="20"/>
    </row>
    <row r="329" spans="1:14" ht="13.5">
      <c r="B329" s="71"/>
      <c r="C329" s="72"/>
      <c r="D329" s="72"/>
      <c r="E329" s="72"/>
      <c r="F329" s="72"/>
      <c r="G329" s="72"/>
      <c r="H329" s="72"/>
      <c r="M329" s="20"/>
    </row>
    <row r="330" spans="1:14" ht="13.5">
      <c r="B330" s="71"/>
      <c r="C330" s="72"/>
      <c r="D330" s="72"/>
      <c r="E330" s="72"/>
      <c r="F330" s="72"/>
      <c r="G330" s="72"/>
      <c r="H330" s="72"/>
      <c r="M330" s="20"/>
    </row>
    <row r="331" spans="1:14" ht="13.5">
      <c r="B331" s="71"/>
      <c r="C331" s="72"/>
      <c r="D331" s="72"/>
      <c r="E331" s="72"/>
      <c r="F331" s="72"/>
      <c r="G331" s="72"/>
      <c r="H331" s="72"/>
      <c r="M331" s="20"/>
    </row>
    <row r="332" spans="1:14" ht="13.5">
      <c r="B332" s="71"/>
      <c r="C332" s="72"/>
      <c r="D332" s="72"/>
      <c r="E332" s="72"/>
      <c r="F332" s="72"/>
      <c r="G332" s="72"/>
      <c r="H332" s="72"/>
      <c r="M332" s="20"/>
    </row>
    <row r="333" spans="1:14" ht="13.5">
      <c r="B333" s="71"/>
      <c r="C333" s="72"/>
      <c r="D333" s="72"/>
      <c r="E333" s="72"/>
      <c r="F333" s="72"/>
      <c r="G333" s="72"/>
      <c r="H333" s="72"/>
      <c r="M333" s="20"/>
    </row>
    <row r="334" spans="1:14" ht="13.5">
      <c r="B334" s="71"/>
      <c r="C334" s="72"/>
      <c r="D334" s="72"/>
      <c r="E334" s="72"/>
      <c r="F334" s="72"/>
      <c r="G334" s="72"/>
      <c r="H334" s="72"/>
      <c r="M334" s="20"/>
    </row>
    <row r="335" spans="1:14" ht="13.5">
      <c r="B335" s="71"/>
      <c r="C335" s="72"/>
      <c r="D335" s="72"/>
      <c r="E335" s="72"/>
      <c r="F335" s="72"/>
      <c r="G335" s="72"/>
      <c r="H335" s="72"/>
      <c r="M335" s="20"/>
    </row>
    <row r="336" spans="1:14" ht="13.5">
      <c r="B336" s="71"/>
      <c r="C336" s="72"/>
      <c r="D336" s="72"/>
      <c r="E336" s="72"/>
      <c r="F336" s="72"/>
      <c r="G336" s="72"/>
      <c r="H336" s="72"/>
      <c r="M336" s="20"/>
    </row>
    <row r="337" spans="2:13" ht="13.5">
      <c r="B337" s="71"/>
      <c r="C337" s="72"/>
      <c r="D337" s="72"/>
      <c r="E337" s="72"/>
      <c r="F337" s="72"/>
      <c r="G337" s="72"/>
      <c r="H337" s="72"/>
      <c r="M337" s="20"/>
    </row>
    <row r="338" spans="2:13" ht="13.5">
      <c r="B338" s="71"/>
      <c r="C338" s="72"/>
      <c r="D338" s="72"/>
      <c r="E338" s="72"/>
      <c r="F338" s="72"/>
      <c r="G338" s="72"/>
      <c r="H338" s="72"/>
      <c r="M338" s="20"/>
    </row>
    <row r="339" spans="2:13" ht="13.5">
      <c r="B339" s="71"/>
      <c r="C339" s="72"/>
      <c r="D339" s="72"/>
      <c r="E339" s="72"/>
      <c r="F339" s="72"/>
      <c r="G339" s="72"/>
      <c r="H339" s="72"/>
      <c r="M339" s="20"/>
    </row>
    <row r="340" spans="2:13" ht="13.5">
      <c r="B340" s="71"/>
      <c r="C340" s="72"/>
      <c r="D340" s="72"/>
      <c r="E340" s="72"/>
      <c r="F340" s="72"/>
      <c r="G340" s="72"/>
      <c r="H340" s="72"/>
      <c r="M340" s="20"/>
    </row>
    <row r="341" spans="2:13" ht="13.5">
      <c r="B341" s="71"/>
      <c r="C341" s="72"/>
      <c r="D341" s="72"/>
      <c r="E341" s="72"/>
      <c r="F341" s="72"/>
      <c r="G341" s="72"/>
      <c r="H341" s="72"/>
      <c r="M341" s="20"/>
    </row>
    <row r="342" spans="2:13" ht="13.5">
      <c r="B342" s="71"/>
      <c r="C342" s="72"/>
      <c r="D342" s="72"/>
      <c r="E342" s="72"/>
      <c r="F342" s="72"/>
      <c r="G342" s="72"/>
      <c r="H342" s="72"/>
      <c r="M342" s="20"/>
    </row>
    <row r="343" spans="2:13" ht="13.5">
      <c r="B343" s="71"/>
      <c r="C343" s="72"/>
      <c r="D343" s="72"/>
      <c r="E343" s="72"/>
      <c r="F343" s="72"/>
      <c r="G343" s="72"/>
      <c r="H343" s="72"/>
      <c r="M343" s="20"/>
    </row>
    <row r="344" spans="2:13" ht="13.5">
      <c r="B344" s="71"/>
      <c r="C344" s="72"/>
      <c r="D344" s="72"/>
      <c r="E344" s="72"/>
      <c r="F344" s="72"/>
      <c r="G344" s="72"/>
      <c r="H344" s="72"/>
      <c r="M344" s="20"/>
    </row>
    <row r="345" spans="2:13" ht="13.5">
      <c r="B345" s="71"/>
      <c r="C345" s="72"/>
      <c r="D345" s="72"/>
      <c r="E345" s="72"/>
      <c r="F345" s="72"/>
      <c r="G345" s="72"/>
      <c r="H345" s="72"/>
      <c r="M345" s="20"/>
    </row>
    <row r="346" spans="2:13" ht="13.5">
      <c r="B346" s="71"/>
      <c r="C346" s="72"/>
      <c r="D346" s="72"/>
      <c r="E346" s="72"/>
      <c r="F346" s="72"/>
      <c r="G346" s="72"/>
      <c r="H346" s="72"/>
      <c r="M346" s="20"/>
    </row>
    <row r="347" spans="2:13" ht="13.5">
      <c r="B347" s="71"/>
      <c r="C347" s="72"/>
      <c r="D347" s="72"/>
      <c r="E347" s="72"/>
      <c r="F347" s="72"/>
      <c r="G347" s="72"/>
      <c r="H347" s="72"/>
      <c r="M347" s="20"/>
    </row>
    <row r="348" spans="2:13" ht="13.5">
      <c r="B348" s="71"/>
      <c r="C348" s="72"/>
      <c r="D348" s="72"/>
      <c r="E348" s="72"/>
      <c r="F348" s="72"/>
      <c r="G348" s="72"/>
      <c r="H348" s="72"/>
      <c r="M348" s="20"/>
    </row>
    <row r="349" spans="2:13" ht="13.5">
      <c r="B349" s="71"/>
      <c r="C349" s="72"/>
      <c r="D349" s="72"/>
      <c r="E349" s="72"/>
      <c r="F349" s="72"/>
      <c r="G349" s="72"/>
      <c r="H349" s="72"/>
      <c r="M349" s="20"/>
    </row>
    <row r="350" spans="2:13" ht="13.5">
      <c r="B350" s="71"/>
      <c r="C350" s="72"/>
      <c r="D350" s="72"/>
      <c r="E350" s="72"/>
      <c r="F350" s="72"/>
      <c r="G350" s="72"/>
      <c r="H350" s="72"/>
      <c r="M350" s="20"/>
    </row>
    <row r="351" spans="2:13" ht="13.5">
      <c r="B351" s="71"/>
      <c r="C351" s="72"/>
      <c r="D351" s="72"/>
      <c r="E351" s="72"/>
      <c r="F351" s="72"/>
      <c r="G351" s="72"/>
      <c r="H351" s="72"/>
      <c r="M351" s="20"/>
    </row>
    <row r="352" spans="2:13" ht="13.5">
      <c r="B352" s="71"/>
      <c r="C352" s="72"/>
      <c r="D352" s="72"/>
      <c r="E352" s="72"/>
      <c r="F352" s="72"/>
      <c r="G352" s="72"/>
      <c r="H352" s="72"/>
      <c r="M352" s="20"/>
    </row>
    <row r="353" spans="1:13" ht="13.5" hidden="1" outlineLevel="1">
      <c r="A353" s="79" t="s">
        <v>41</v>
      </c>
      <c r="M353" s="20"/>
    </row>
    <row r="354" spans="1:13" ht="13.5" hidden="1" outlineLevel="1">
      <c r="A354" s="79"/>
      <c r="M354" s="20"/>
    </row>
    <row r="355" spans="1:13" ht="13.5" hidden="1" outlineLevel="1">
      <c r="A355" s="79" t="s">
        <v>66</v>
      </c>
      <c r="M355" s="20"/>
    </row>
    <row r="356" spans="1:13" ht="13.5" hidden="1" outlineLevel="1">
      <c r="A356" s="369" t="s">
        <v>419</v>
      </c>
      <c r="C356" s="369" t="s">
        <v>419</v>
      </c>
      <c r="M356" s="20"/>
    </row>
    <row r="357" spans="1:13" ht="13.5" hidden="1" outlineLevel="1">
      <c r="A357" t="s">
        <v>63</v>
      </c>
      <c r="C357" t="s">
        <v>63</v>
      </c>
      <c r="M357" s="20"/>
    </row>
    <row r="358" spans="1:13" ht="13.5" hidden="1" outlineLevel="1">
      <c r="A358" t="s">
        <v>224</v>
      </c>
      <c r="C358" t="s">
        <v>224</v>
      </c>
      <c r="M358" s="20"/>
    </row>
    <row r="359" spans="1:13" ht="13.5" hidden="1" outlineLevel="1">
      <c r="A359" t="s">
        <v>59</v>
      </c>
      <c r="C359" t="s">
        <v>59</v>
      </c>
      <c r="M359" s="20"/>
    </row>
    <row r="360" spans="1:13" ht="13.5" hidden="1" outlineLevel="1">
      <c r="A360" t="s">
        <v>223</v>
      </c>
      <c r="C360" t="s">
        <v>223</v>
      </c>
      <c r="M360" s="20"/>
    </row>
    <row r="361" spans="1:13" ht="13.5" hidden="1" outlineLevel="1">
      <c r="A361" t="s">
        <v>61</v>
      </c>
      <c r="C361" t="s">
        <v>61</v>
      </c>
      <c r="M361" s="20"/>
    </row>
    <row r="362" spans="1:13" ht="13.5" hidden="1" outlineLevel="1">
      <c r="A362" t="s">
        <v>196</v>
      </c>
      <c r="C362" t="s">
        <v>196</v>
      </c>
      <c r="M362" s="20"/>
    </row>
    <row r="363" spans="1:13" ht="13.5" hidden="1" outlineLevel="1">
      <c r="A363" t="s">
        <v>62</v>
      </c>
      <c r="C363" t="s">
        <v>62</v>
      </c>
      <c r="M363" s="20"/>
    </row>
    <row r="364" spans="1:13" ht="13.5" hidden="1" outlineLevel="1">
      <c r="A364" t="s">
        <v>225</v>
      </c>
      <c r="C364" t="s">
        <v>225</v>
      </c>
      <c r="M364" s="20"/>
    </row>
    <row r="365" spans="1:13" ht="13.5" hidden="1" outlineLevel="1">
      <c r="A365" t="s">
        <v>222</v>
      </c>
      <c r="C365" t="s">
        <v>222</v>
      </c>
      <c r="M365" s="20"/>
    </row>
    <row r="366" spans="1:13" ht="13.5" hidden="1" outlineLevel="1">
      <c r="A366" t="s">
        <v>64</v>
      </c>
      <c r="C366" t="s">
        <v>64</v>
      </c>
      <c r="M366" s="20"/>
    </row>
    <row r="367" spans="1:13" ht="13.5" hidden="1" outlineLevel="1">
      <c r="A367" t="s">
        <v>360</v>
      </c>
      <c r="C367" t="s">
        <v>360</v>
      </c>
      <c r="M367" s="20"/>
    </row>
    <row r="368" spans="1:13" ht="13.5" hidden="1" outlineLevel="1">
      <c r="A368" t="s">
        <v>35</v>
      </c>
      <c r="M368" s="20"/>
    </row>
    <row r="369" spans="1:13" ht="13.5" hidden="1" outlineLevel="1">
      <c r="M369" s="20"/>
    </row>
    <row r="370" spans="1:13" ht="13.5" hidden="1" outlineLevel="1">
      <c r="M370" s="20"/>
    </row>
    <row r="371" spans="1:13" ht="13.5" hidden="1" outlineLevel="1">
      <c r="M371" s="20"/>
    </row>
    <row r="372" spans="1:13" ht="13.5" hidden="1" outlineLevel="1">
      <c r="A372" s="79" t="s">
        <v>67</v>
      </c>
      <c r="M372" s="20"/>
    </row>
    <row r="373" spans="1:13" ht="13.5" hidden="1" outlineLevel="1">
      <c r="A373" s="369" t="s">
        <v>419</v>
      </c>
      <c r="M373" s="20"/>
    </row>
    <row r="374" spans="1:13" ht="13.5" hidden="1" outlineLevel="1">
      <c r="A374" t="s">
        <v>25</v>
      </c>
      <c r="M374" s="20"/>
    </row>
    <row r="375" spans="1:13" ht="13.5" hidden="1" outlineLevel="1">
      <c r="A375" t="s">
        <v>26</v>
      </c>
      <c r="M375" s="20"/>
    </row>
    <row r="376" spans="1:13" ht="13.5" hidden="1" outlineLevel="1">
      <c r="A376" t="s">
        <v>27</v>
      </c>
      <c r="M376" s="20"/>
    </row>
    <row r="377" spans="1:13" ht="13.5" hidden="1" outlineLevel="1">
      <c r="A377" t="s">
        <v>28</v>
      </c>
      <c r="M377" s="20"/>
    </row>
    <row r="378" spans="1:13" ht="13.5" hidden="1" outlineLevel="1">
      <c r="A378" t="s">
        <v>29</v>
      </c>
      <c r="M378" s="20"/>
    </row>
    <row r="379" spans="1:13" ht="13.5" hidden="1" outlineLevel="1">
      <c r="A379" t="s">
        <v>195</v>
      </c>
      <c r="M379" s="20"/>
    </row>
    <row r="380" spans="1:13" ht="13.5" hidden="1" outlineLevel="1">
      <c r="A380" t="s">
        <v>30</v>
      </c>
      <c r="M380" s="20"/>
    </row>
    <row r="381" spans="1:13" ht="13.5" hidden="1" outlineLevel="1">
      <c r="A381" t="s">
        <v>31</v>
      </c>
      <c r="M381" s="20"/>
    </row>
    <row r="382" spans="1:13" ht="13.5" hidden="1" outlineLevel="1">
      <c r="A382" t="s">
        <v>34</v>
      </c>
      <c r="M382" s="20"/>
    </row>
    <row r="383" spans="1:13" ht="13.5" hidden="1" outlineLevel="1">
      <c r="M383" s="20"/>
    </row>
    <row r="384" spans="1:13" ht="13.5" hidden="1" outlineLevel="1">
      <c r="A384" s="79" t="s">
        <v>353</v>
      </c>
      <c r="M384" s="20"/>
    </row>
    <row r="385" spans="2:13" ht="13.5" hidden="1" outlineLevel="1">
      <c r="B385" s="369" t="s">
        <v>419</v>
      </c>
      <c r="C385" s="369" t="s">
        <v>420</v>
      </c>
      <c r="M385" s="20"/>
    </row>
    <row r="386" spans="2:13" ht="13.5" hidden="1" outlineLevel="1">
      <c r="B386" t="s">
        <v>261</v>
      </c>
      <c r="C386" t="s">
        <v>222</v>
      </c>
      <c r="M386" s="20"/>
    </row>
    <row r="387" spans="2:13" ht="13.5" hidden="1" outlineLevel="1">
      <c r="B387" t="s">
        <v>257</v>
      </c>
      <c r="C387" t="s">
        <v>196</v>
      </c>
      <c r="M387" s="20"/>
    </row>
    <row r="388" spans="2:13" ht="13.5" hidden="1" outlineLevel="1">
      <c r="B388" t="s">
        <v>265</v>
      </c>
      <c r="C388" t="s">
        <v>64</v>
      </c>
      <c r="M388" s="20"/>
    </row>
    <row r="389" spans="2:13" ht="13.5" hidden="1" outlineLevel="1">
      <c r="B389" t="s">
        <v>244</v>
      </c>
      <c r="C389" t="s">
        <v>64</v>
      </c>
      <c r="M389" s="20"/>
    </row>
    <row r="390" spans="2:13" ht="13.5" hidden="1" outlineLevel="1">
      <c r="B390" t="s">
        <v>254</v>
      </c>
      <c r="C390" t="s">
        <v>61</v>
      </c>
      <c r="M390" s="20"/>
    </row>
    <row r="391" spans="2:13" ht="13.5" hidden="1" outlineLevel="1">
      <c r="B391" t="s">
        <v>253</v>
      </c>
      <c r="C391" t="s">
        <v>59</v>
      </c>
      <c r="M391" s="20"/>
    </row>
    <row r="392" spans="2:13" ht="13.5" hidden="1" outlineLevel="1">
      <c r="B392" t="s">
        <v>263</v>
      </c>
      <c r="C392" t="s">
        <v>225</v>
      </c>
      <c r="M392" s="20"/>
    </row>
    <row r="393" spans="2:13" ht="13.5" hidden="1" outlineLevel="1">
      <c r="B393" t="s">
        <v>249</v>
      </c>
      <c r="C393" t="s">
        <v>59</v>
      </c>
      <c r="M393" s="20"/>
    </row>
    <row r="394" spans="2:13" ht="13.5" hidden="1" outlineLevel="1">
      <c r="B394" t="s">
        <v>251</v>
      </c>
      <c r="C394" t="s">
        <v>64</v>
      </c>
      <c r="M394" s="20"/>
    </row>
    <row r="395" spans="2:13" ht="13.5" hidden="1" outlineLevel="1">
      <c r="B395" t="s">
        <v>266</v>
      </c>
      <c r="C395" t="s">
        <v>59</v>
      </c>
      <c r="M395" s="20"/>
    </row>
    <row r="396" spans="2:13" ht="13.5" hidden="1" outlineLevel="1">
      <c r="B396" t="s">
        <v>245</v>
      </c>
      <c r="C396" t="s">
        <v>64</v>
      </c>
      <c r="M396" s="20"/>
    </row>
    <row r="397" spans="2:13" ht="13.5" hidden="1" outlineLevel="1">
      <c r="B397" t="s">
        <v>260</v>
      </c>
      <c r="C397" t="s">
        <v>224</v>
      </c>
      <c r="M397" s="20"/>
    </row>
    <row r="398" spans="2:13" ht="13.5" hidden="1" outlineLevel="1">
      <c r="B398" t="s">
        <v>247</v>
      </c>
      <c r="C398" t="s">
        <v>64</v>
      </c>
      <c r="M398" s="20"/>
    </row>
    <row r="399" spans="2:13" ht="13.5" hidden="1" outlineLevel="1">
      <c r="B399" t="s">
        <v>262</v>
      </c>
      <c r="C399" t="s">
        <v>64</v>
      </c>
      <c r="M399" s="20"/>
    </row>
    <row r="400" spans="2:13" ht="13.5" hidden="1" outlineLevel="1">
      <c r="B400" t="s">
        <v>268</v>
      </c>
      <c r="C400" t="s">
        <v>222</v>
      </c>
      <c r="M400" s="20"/>
    </row>
    <row r="401" spans="1:13" ht="13.5" hidden="1" outlineLevel="1">
      <c r="M401" s="20"/>
    </row>
    <row r="402" spans="1:13" ht="13.5" hidden="1" outlineLevel="1">
      <c r="M402" s="20"/>
    </row>
    <row r="403" spans="1:13" ht="13.5" hidden="1" outlineLevel="1">
      <c r="A403" s="79" t="s">
        <v>352</v>
      </c>
      <c r="M403" s="20"/>
    </row>
    <row r="404" spans="1:13" ht="13.5" hidden="1" outlineLevel="1">
      <c r="B404" s="369" t="s">
        <v>419</v>
      </c>
      <c r="C404" s="369" t="s">
        <v>420</v>
      </c>
      <c r="M404" s="20"/>
    </row>
    <row r="405" spans="1:13" ht="13.5" hidden="1" outlineLevel="1">
      <c r="B405" t="s">
        <v>248</v>
      </c>
      <c r="C405" t="s">
        <v>59</v>
      </c>
      <c r="M405" s="20"/>
    </row>
    <row r="406" spans="1:13" ht="13.5" hidden="1" outlineLevel="1">
      <c r="B406" t="s">
        <v>252</v>
      </c>
      <c r="C406" t="s">
        <v>224</v>
      </c>
      <c r="M406" s="20"/>
    </row>
    <row r="407" spans="1:13" ht="13.5" hidden="1" outlineLevel="1">
      <c r="B407" t="s">
        <v>264</v>
      </c>
      <c r="C407" t="s">
        <v>62</v>
      </c>
      <c r="M407" s="20"/>
    </row>
    <row r="408" spans="1:13" ht="13.5" hidden="1" outlineLevel="1">
      <c r="B408" t="s">
        <v>255</v>
      </c>
      <c r="C408" t="s">
        <v>61</v>
      </c>
      <c r="M408" s="20"/>
    </row>
    <row r="409" spans="1:13" ht="13.5" hidden="1" outlineLevel="1">
      <c r="B409" t="s">
        <v>250</v>
      </c>
      <c r="C409" t="s">
        <v>64</v>
      </c>
      <c r="M409" s="20"/>
    </row>
    <row r="410" spans="1:13" ht="13.5" hidden="1" outlineLevel="1">
      <c r="B410" t="s">
        <v>258</v>
      </c>
      <c r="C410" t="s">
        <v>63</v>
      </c>
      <c r="M410" s="20"/>
    </row>
    <row r="411" spans="1:13" ht="13.5" hidden="1" outlineLevel="1">
      <c r="B411" t="s">
        <v>267</v>
      </c>
      <c r="C411" t="s">
        <v>222</v>
      </c>
      <c r="M411" s="20"/>
    </row>
    <row r="412" spans="1:13" ht="13.5" hidden="1" outlineLevel="1">
      <c r="B412" t="s">
        <v>246</v>
      </c>
      <c r="C412" t="s">
        <v>64</v>
      </c>
      <c r="M412" s="20"/>
    </row>
    <row r="413" spans="1:13" ht="13.5" hidden="1" outlineLevel="1">
      <c r="B413" t="s">
        <v>256</v>
      </c>
      <c r="C413" t="s">
        <v>196</v>
      </c>
      <c r="M413" s="20"/>
    </row>
    <row r="414" spans="1:13" ht="13.5" hidden="1" outlineLevel="1">
      <c r="B414" t="s">
        <v>259</v>
      </c>
      <c r="C414" t="s">
        <v>63</v>
      </c>
      <c r="M414" s="20"/>
    </row>
    <row r="415" spans="1:13" ht="13.5" collapsed="1">
      <c r="M415" s="20"/>
    </row>
    <row r="416" spans="1:13" ht="13.5">
      <c r="M416" s="20"/>
    </row>
    <row r="417" spans="1:13" ht="13.5" hidden="1" outlineLevel="1">
      <c r="A417" s="79" t="s">
        <v>144</v>
      </c>
      <c r="M417" s="20"/>
    </row>
    <row r="418" spans="1:13" ht="13.5" hidden="1" outlineLevel="1">
      <c r="A418" s="154"/>
      <c r="B418" s="154">
        <v>1E-3</v>
      </c>
      <c r="M418" s="20"/>
    </row>
    <row r="419" spans="1:13" ht="13.5" hidden="1" outlineLevel="1">
      <c r="B419" s="154">
        <v>1E-3</v>
      </c>
      <c r="M419" s="20"/>
    </row>
    <row r="420" spans="1:13" ht="13.5" hidden="1" outlineLevel="1">
      <c r="B420" s="154">
        <v>2E-3</v>
      </c>
      <c r="M420" s="20"/>
    </row>
    <row r="421" spans="1:13" ht="13.5" hidden="1" outlineLevel="1">
      <c r="B421" s="154">
        <v>3.0000000000000001E-3</v>
      </c>
      <c r="M421" s="20"/>
    </row>
    <row r="422" spans="1:13" ht="13.5" hidden="1" outlineLevel="1">
      <c r="B422" s="154">
        <v>4.0000000000000001E-3</v>
      </c>
      <c r="M422" s="20"/>
    </row>
    <row r="423" spans="1:13" ht="13.5" hidden="1" outlineLevel="1">
      <c r="B423" s="154">
        <v>5.0000000000000001E-3</v>
      </c>
      <c r="M423" s="20"/>
    </row>
    <row r="424" spans="1:13" ht="13.5" hidden="1" outlineLevel="1">
      <c r="B424" s="154">
        <v>6.0000000000000001E-3</v>
      </c>
      <c r="M424" s="20"/>
    </row>
    <row r="425" spans="1:13" ht="13.5" hidden="1" outlineLevel="1">
      <c r="B425" s="154">
        <v>7.0000000000000001E-3</v>
      </c>
      <c r="M425" s="20"/>
    </row>
    <row r="426" spans="1:13" ht="13.5" hidden="1" outlineLevel="1">
      <c r="B426" s="154">
        <v>8.0000000000000002E-3</v>
      </c>
      <c r="M426" s="20"/>
    </row>
    <row r="427" spans="1:13" ht="13.5" hidden="1" outlineLevel="1">
      <c r="B427" s="154">
        <v>8.9999999999999993E-3</v>
      </c>
      <c r="M427" s="20"/>
    </row>
    <row r="428" spans="1:13" ht="13.5" hidden="1" outlineLevel="1">
      <c r="B428" s="154">
        <v>0.01</v>
      </c>
      <c r="M428" s="20"/>
    </row>
    <row r="429" spans="1:13" ht="13.5" hidden="1" outlineLevel="1">
      <c r="B429" s="154">
        <v>1.0999999999999999E-2</v>
      </c>
      <c r="M429" s="20"/>
    </row>
    <row r="430" spans="1:13" ht="13.5" hidden="1" outlineLevel="1">
      <c r="B430" s="154">
        <v>1.2E-2</v>
      </c>
      <c r="M430" s="20"/>
    </row>
    <row r="431" spans="1:13" ht="13.5" hidden="1" outlineLevel="1">
      <c r="B431" s="154">
        <v>1.2999999999999999E-2</v>
      </c>
      <c r="M431" s="20"/>
    </row>
    <row r="432" spans="1:13" ht="13.5" hidden="1" outlineLevel="1">
      <c r="B432" s="154">
        <v>1.4E-2</v>
      </c>
      <c r="M432" s="20"/>
    </row>
    <row r="433" spans="2:13" ht="13.5" hidden="1" outlineLevel="1">
      <c r="B433" s="154">
        <v>1.4999999999999999E-2</v>
      </c>
      <c r="M433" s="20"/>
    </row>
    <row r="434" spans="2:13" ht="13.5" hidden="1" outlineLevel="1">
      <c r="B434" s="154">
        <v>1.6E-2</v>
      </c>
      <c r="M434" s="20"/>
    </row>
    <row r="435" spans="2:13" ht="13.5" hidden="1" outlineLevel="1">
      <c r="B435" s="154">
        <v>1.7000000000000001E-2</v>
      </c>
      <c r="M435" s="20"/>
    </row>
    <row r="436" spans="2:13" ht="13.5" hidden="1" outlineLevel="1">
      <c r="B436" s="154">
        <v>1.7999999999999999E-2</v>
      </c>
      <c r="M436" s="20"/>
    </row>
    <row r="437" spans="2:13" ht="13.5" hidden="1" outlineLevel="1">
      <c r="B437" s="154">
        <v>1.9E-2</v>
      </c>
      <c r="M437" s="20"/>
    </row>
    <row r="438" spans="2:13" ht="13.5" hidden="1" outlineLevel="1">
      <c r="B438" s="154">
        <v>0.02</v>
      </c>
      <c r="M438" s="20"/>
    </row>
    <row r="439" spans="2:13" ht="13.5" hidden="1" outlineLevel="1">
      <c r="B439" s="154">
        <v>2.1000000000000001E-2</v>
      </c>
      <c r="M439" s="20"/>
    </row>
    <row r="440" spans="2:13" ht="13.5" hidden="1" outlineLevel="1">
      <c r="B440" s="154">
        <v>2.1999999999999999E-2</v>
      </c>
      <c r="M440" s="20"/>
    </row>
    <row r="441" spans="2:13" ht="13.5" hidden="1" outlineLevel="1">
      <c r="B441" s="154">
        <v>2.3E-2</v>
      </c>
      <c r="M441" s="20"/>
    </row>
    <row r="442" spans="2:13" ht="13.5" hidden="1" outlineLevel="1">
      <c r="B442" s="154">
        <v>2.4E-2</v>
      </c>
      <c r="M442" s="20"/>
    </row>
    <row r="443" spans="2:13" ht="13.5" hidden="1" outlineLevel="1">
      <c r="B443" s="154">
        <v>2.5000000000000001E-2</v>
      </c>
      <c r="M443" s="20"/>
    </row>
    <row r="444" spans="2:13" ht="13.5" hidden="1" outlineLevel="1">
      <c r="B444" s="154">
        <v>2.5999999999999999E-2</v>
      </c>
      <c r="M444" s="20"/>
    </row>
    <row r="445" spans="2:13" ht="13.5" hidden="1" outlineLevel="1">
      <c r="B445" s="154">
        <v>2.7E-2</v>
      </c>
      <c r="M445" s="20"/>
    </row>
    <row r="446" spans="2:13" ht="13.5" hidden="1" outlineLevel="1">
      <c r="B446" s="154">
        <v>2.8000000000000001E-2</v>
      </c>
      <c r="M446" s="20"/>
    </row>
    <row r="447" spans="2:13" ht="13.5" hidden="1" outlineLevel="1">
      <c r="B447" s="154">
        <v>2.9000000000000001E-2</v>
      </c>
      <c r="M447" s="20"/>
    </row>
    <row r="448" spans="2:13" ht="13.5" hidden="1" outlineLevel="1">
      <c r="B448" s="154">
        <v>0.03</v>
      </c>
      <c r="M448" s="20"/>
    </row>
    <row r="449" spans="2:13" ht="13.5" hidden="1" outlineLevel="1">
      <c r="B449" s="154">
        <v>3.1E-2</v>
      </c>
      <c r="M449" s="20"/>
    </row>
    <row r="450" spans="2:13" ht="13.5" hidden="1" outlineLevel="1">
      <c r="B450" s="154">
        <v>3.2000000000000001E-2</v>
      </c>
      <c r="M450" s="20"/>
    </row>
    <row r="451" spans="2:13" ht="13.5" hidden="1" outlineLevel="1">
      <c r="B451" s="154">
        <v>3.3000000000000002E-2</v>
      </c>
      <c r="M451" s="20"/>
    </row>
    <row r="452" spans="2:13" ht="13.5" hidden="1" outlineLevel="1">
      <c r="B452" s="154">
        <v>3.4000000000000002E-2</v>
      </c>
      <c r="M452" s="20"/>
    </row>
    <row r="453" spans="2:13" ht="13.5" hidden="1" outlineLevel="1">
      <c r="B453" s="154">
        <v>3.5000000000000003E-2</v>
      </c>
      <c r="M453" s="20"/>
    </row>
    <row r="454" spans="2:13" ht="13.5" hidden="1" outlineLevel="1">
      <c r="B454" s="154">
        <v>3.5999999999999997E-2</v>
      </c>
      <c r="M454" s="20"/>
    </row>
    <row r="455" spans="2:13" ht="13.5" hidden="1" outlineLevel="1">
      <c r="B455" s="154">
        <v>3.6999999999999998E-2</v>
      </c>
      <c r="M455" s="20"/>
    </row>
    <row r="456" spans="2:13" ht="13.5" hidden="1" outlineLevel="1">
      <c r="B456" s="154">
        <v>3.7999999999999999E-2</v>
      </c>
      <c r="M456" s="20"/>
    </row>
    <row r="457" spans="2:13" ht="13.5" hidden="1" outlineLevel="1">
      <c r="B457" s="154">
        <v>3.9E-2</v>
      </c>
      <c r="M457" s="20"/>
    </row>
    <row r="458" spans="2:13" ht="13.5" hidden="1" outlineLevel="1">
      <c r="B458" s="154">
        <v>0.04</v>
      </c>
      <c r="M458" s="20"/>
    </row>
    <row r="459" spans="2:13" ht="13.5" hidden="1" outlineLevel="1">
      <c r="B459" s="154">
        <v>4.1000000000000002E-2</v>
      </c>
      <c r="M459" s="20"/>
    </row>
    <row r="460" spans="2:13" ht="13.5" hidden="1" outlineLevel="1">
      <c r="B460" s="154">
        <v>4.2000000000000003E-2</v>
      </c>
      <c r="M460" s="20"/>
    </row>
    <row r="461" spans="2:13" ht="13.5" hidden="1" outlineLevel="1">
      <c r="B461" s="154">
        <v>4.2999999999999997E-2</v>
      </c>
      <c r="M461" s="20"/>
    </row>
    <row r="462" spans="2:13" ht="13.5" hidden="1" outlineLevel="1">
      <c r="B462" s="154">
        <v>4.3999999999999997E-2</v>
      </c>
      <c r="M462" s="20"/>
    </row>
    <row r="463" spans="2:13" ht="13.5" hidden="1" outlineLevel="1">
      <c r="B463" s="154">
        <v>4.4999999999999998E-2</v>
      </c>
      <c r="M463" s="20"/>
    </row>
    <row r="464" spans="2:13" ht="13.5" hidden="1" outlineLevel="1">
      <c r="B464" s="154">
        <v>4.5999999999999999E-2</v>
      </c>
      <c r="M464" s="20"/>
    </row>
    <row r="465" spans="2:13" ht="13.5" hidden="1" outlineLevel="1">
      <c r="B465" s="154">
        <v>4.7E-2</v>
      </c>
      <c r="M465" s="20"/>
    </row>
    <row r="466" spans="2:13" ht="13.5" hidden="1" outlineLevel="1">
      <c r="B466" s="154">
        <v>4.8000000000000001E-2</v>
      </c>
      <c r="M466" s="20"/>
    </row>
    <row r="467" spans="2:13" ht="13.5" hidden="1" outlineLevel="1">
      <c r="B467" s="154">
        <v>4.9000000000000002E-2</v>
      </c>
      <c r="M467" s="20"/>
    </row>
    <row r="468" spans="2:13" ht="13.5" hidden="1" outlineLevel="1">
      <c r="B468" s="154">
        <v>0.05</v>
      </c>
      <c r="M468" s="20"/>
    </row>
    <row r="469" spans="2:13" ht="13.5" hidden="1" outlineLevel="1">
      <c r="B469" s="154">
        <v>5.0999999999999997E-2</v>
      </c>
      <c r="M469" s="20"/>
    </row>
    <row r="470" spans="2:13" ht="13.5" hidden="1" outlineLevel="1">
      <c r="B470" s="154">
        <v>5.1999999999999998E-2</v>
      </c>
      <c r="M470" s="20"/>
    </row>
    <row r="471" spans="2:13" ht="13.5" hidden="1" outlineLevel="1">
      <c r="B471" s="154">
        <v>5.2999999999999999E-2</v>
      </c>
      <c r="M471" s="20"/>
    </row>
    <row r="472" spans="2:13" ht="13.5" hidden="1" outlineLevel="1">
      <c r="B472" s="154">
        <v>5.3999999999999999E-2</v>
      </c>
      <c r="M472" s="20"/>
    </row>
    <row r="473" spans="2:13" ht="13.5" hidden="1" outlineLevel="1">
      <c r="B473" s="154">
        <v>5.5E-2</v>
      </c>
      <c r="M473" s="20"/>
    </row>
    <row r="474" spans="2:13" ht="13.5" hidden="1" outlineLevel="1">
      <c r="B474" s="154">
        <v>5.6000000000000001E-2</v>
      </c>
      <c r="M474" s="20"/>
    </row>
    <row r="475" spans="2:13" ht="13.5" hidden="1" outlineLevel="1">
      <c r="B475" s="154">
        <v>5.7000000000000002E-2</v>
      </c>
      <c r="M475" s="20"/>
    </row>
    <row r="476" spans="2:13" ht="13.5" hidden="1" outlineLevel="1">
      <c r="B476" s="154">
        <v>5.8000000000000003E-2</v>
      </c>
      <c r="M476" s="20"/>
    </row>
    <row r="477" spans="2:13" ht="13.5" hidden="1" outlineLevel="1">
      <c r="B477" s="154">
        <v>5.8999999999999997E-2</v>
      </c>
      <c r="M477" s="20"/>
    </row>
    <row r="478" spans="2:13" ht="13.5" hidden="1" outlineLevel="1">
      <c r="B478" s="154">
        <v>0.06</v>
      </c>
      <c r="M478" s="20"/>
    </row>
    <row r="479" spans="2:13" ht="13.5" hidden="1" outlineLevel="1">
      <c r="B479" s="154">
        <v>6.0999999999999999E-2</v>
      </c>
      <c r="M479" s="20"/>
    </row>
    <row r="480" spans="2:13" ht="13.5" hidden="1" outlineLevel="1">
      <c r="B480" s="154">
        <v>6.2E-2</v>
      </c>
      <c r="M480" s="20"/>
    </row>
    <row r="481" spans="2:13" ht="13.5" hidden="1" outlineLevel="1">
      <c r="B481" s="154">
        <v>6.3E-2</v>
      </c>
      <c r="M481" s="20"/>
    </row>
    <row r="482" spans="2:13" ht="13.5" hidden="1" outlineLevel="1">
      <c r="B482" s="154">
        <v>6.4000000000000001E-2</v>
      </c>
      <c r="M482" s="20"/>
    </row>
    <row r="483" spans="2:13" ht="13.5" hidden="1" outlineLevel="1">
      <c r="B483" s="154">
        <v>6.5000000000000002E-2</v>
      </c>
      <c r="M483" s="20"/>
    </row>
    <row r="484" spans="2:13" ht="13.5" hidden="1" outlineLevel="1">
      <c r="B484" s="154">
        <v>6.6000000000000003E-2</v>
      </c>
      <c r="M484" s="20"/>
    </row>
    <row r="485" spans="2:13" ht="13.5" hidden="1" outlineLevel="1">
      <c r="B485" s="154">
        <v>6.7000000000000004E-2</v>
      </c>
      <c r="M485" s="20"/>
    </row>
    <row r="486" spans="2:13" ht="13.5" hidden="1" outlineLevel="1">
      <c r="B486" s="154">
        <v>6.8000000000000005E-2</v>
      </c>
      <c r="M486" s="20"/>
    </row>
    <row r="487" spans="2:13" ht="13.5" hidden="1" outlineLevel="1">
      <c r="B487" s="154">
        <v>6.9000000000000006E-2</v>
      </c>
      <c r="M487" s="20"/>
    </row>
    <row r="488" spans="2:13" ht="13.5" hidden="1" outlineLevel="1">
      <c r="B488" s="154">
        <v>7.0000000000000007E-2</v>
      </c>
      <c r="M488" s="20"/>
    </row>
    <row r="489" spans="2:13" ht="13.5" hidden="1" outlineLevel="1">
      <c r="B489" s="154">
        <v>7.0999999999999994E-2</v>
      </c>
      <c r="M489" s="20"/>
    </row>
    <row r="490" spans="2:13" ht="13.5" hidden="1" outlineLevel="1">
      <c r="B490" s="154">
        <v>7.1999999999999995E-2</v>
      </c>
      <c r="M490" s="20"/>
    </row>
    <row r="491" spans="2:13" ht="13.5" hidden="1" outlineLevel="1">
      <c r="B491" s="154">
        <v>7.2999999999999995E-2</v>
      </c>
      <c r="M491" s="20"/>
    </row>
    <row r="492" spans="2:13" ht="13.5" hidden="1" outlineLevel="1">
      <c r="B492" s="154">
        <v>7.3999999999999996E-2</v>
      </c>
      <c r="M492" s="20"/>
    </row>
    <row r="493" spans="2:13" ht="13.5" hidden="1" outlineLevel="1">
      <c r="B493" s="154">
        <v>7.4999999999999997E-2</v>
      </c>
      <c r="M493" s="20"/>
    </row>
    <row r="494" spans="2:13" ht="13.5" hidden="1" outlineLevel="1">
      <c r="B494" s="154">
        <v>7.5999999999999998E-2</v>
      </c>
      <c r="M494" s="20"/>
    </row>
    <row r="495" spans="2:13" ht="13.5" hidden="1" outlineLevel="1">
      <c r="B495" s="154">
        <v>7.6999999999999999E-2</v>
      </c>
      <c r="M495" s="20"/>
    </row>
    <row r="496" spans="2:13" ht="13.5" hidden="1" outlineLevel="1">
      <c r="B496" s="154">
        <v>7.8E-2</v>
      </c>
      <c r="M496" s="20"/>
    </row>
    <row r="497" spans="2:13" ht="13.5" hidden="1" outlineLevel="1">
      <c r="B497" s="154">
        <v>7.9000000000000001E-2</v>
      </c>
      <c r="M497" s="20"/>
    </row>
    <row r="498" spans="2:13" ht="13.5" hidden="1" outlineLevel="1">
      <c r="B498" s="154">
        <v>0.08</v>
      </c>
      <c r="M498" s="20"/>
    </row>
    <row r="499" spans="2:13" ht="13.5" hidden="1" outlineLevel="1">
      <c r="B499" s="154">
        <v>8.1000000000000003E-2</v>
      </c>
      <c r="M499" s="20"/>
    </row>
    <row r="500" spans="2:13" ht="13.5" hidden="1" outlineLevel="1">
      <c r="B500" s="154">
        <v>8.2000000000000003E-2</v>
      </c>
      <c r="M500" s="20"/>
    </row>
    <row r="501" spans="2:13" ht="13.5" hidden="1" outlineLevel="1">
      <c r="B501" s="154">
        <v>8.3000000000000004E-2</v>
      </c>
      <c r="M501" s="20"/>
    </row>
    <row r="502" spans="2:13" ht="13.5" hidden="1" outlineLevel="1">
      <c r="B502" s="154">
        <v>8.4000000000000005E-2</v>
      </c>
      <c r="M502" s="20"/>
    </row>
    <row r="503" spans="2:13" ht="13.5" hidden="1" outlineLevel="1">
      <c r="B503" s="154">
        <v>8.5000000000000006E-2</v>
      </c>
      <c r="M503" s="20"/>
    </row>
    <row r="504" spans="2:13" ht="13.5" hidden="1" outlineLevel="1">
      <c r="B504" s="154">
        <v>8.5999999999999993E-2</v>
      </c>
      <c r="M504" s="20"/>
    </row>
    <row r="505" spans="2:13" ht="13.5" hidden="1" outlineLevel="1">
      <c r="B505" s="154">
        <v>8.6999999999999994E-2</v>
      </c>
      <c r="M505" s="20"/>
    </row>
    <row r="506" spans="2:13" ht="13.5" hidden="1" outlineLevel="1">
      <c r="B506" s="154">
        <v>8.7999999999999995E-2</v>
      </c>
      <c r="M506" s="20"/>
    </row>
    <row r="507" spans="2:13" ht="13.5" hidden="1" outlineLevel="1">
      <c r="B507" s="154">
        <v>8.8999999999999996E-2</v>
      </c>
      <c r="M507" s="20"/>
    </row>
    <row r="508" spans="2:13" ht="13.5" hidden="1" outlineLevel="1">
      <c r="B508" s="154">
        <v>0.09</v>
      </c>
      <c r="M508" s="20"/>
    </row>
    <row r="509" spans="2:13" ht="13.5" hidden="1" outlineLevel="1">
      <c r="B509" s="154">
        <v>9.0999999999999998E-2</v>
      </c>
      <c r="M509" s="20"/>
    </row>
    <row r="510" spans="2:13" ht="13.5" hidden="1" outlineLevel="1">
      <c r="B510" s="154">
        <v>9.1999999999999998E-2</v>
      </c>
      <c r="M510" s="20"/>
    </row>
    <row r="511" spans="2:13" ht="13.5" hidden="1" outlineLevel="1">
      <c r="B511" s="154">
        <v>9.2999999999999999E-2</v>
      </c>
      <c r="M511" s="20"/>
    </row>
    <row r="512" spans="2:13" ht="13.5" hidden="1" outlineLevel="1">
      <c r="B512" s="154">
        <v>9.4E-2</v>
      </c>
      <c r="M512" s="20"/>
    </row>
    <row r="513" spans="2:13" ht="13.5" hidden="1" outlineLevel="1">
      <c r="B513" s="154">
        <v>9.5000000000000001E-2</v>
      </c>
      <c r="M513" s="20"/>
    </row>
    <row r="514" spans="2:13" ht="13.5" hidden="1" outlineLevel="1">
      <c r="B514" s="154">
        <v>9.6000000000000002E-2</v>
      </c>
      <c r="M514" s="20"/>
    </row>
    <row r="515" spans="2:13" ht="13.5" hidden="1" outlineLevel="1">
      <c r="B515" s="154">
        <v>9.7000000000000003E-2</v>
      </c>
      <c r="M515" s="20"/>
    </row>
    <row r="516" spans="2:13" ht="13.5" hidden="1" outlineLevel="1">
      <c r="B516" s="154">
        <v>9.8000000000000004E-2</v>
      </c>
      <c r="M516" s="20"/>
    </row>
    <row r="517" spans="2:13" ht="13.5" hidden="1" outlineLevel="1">
      <c r="B517" s="154">
        <v>9.9000000000000005E-2</v>
      </c>
      <c r="M517" s="20"/>
    </row>
    <row r="518" spans="2:13" ht="13.5" hidden="1" outlineLevel="1">
      <c r="B518" s="154">
        <v>0.1</v>
      </c>
      <c r="M518" s="20"/>
    </row>
    <row r="519" spans="2:13" ht="13.5" collapsed="1">
      <c r="B519" s="154"/>
      <c r="M519" s="20"/>
    </row>
    <row r="520" spans="2:13" ht="13.5">
      <c r="B520" s="154"/>
      <c r="M520" s="20"/>
    </row>
    <row r="521" spans="2:13" ht="15.75" hidden="1" outlineLevel="1" thickBot="1">
      <c r="B521" s="396" t="s">
        <v>422</v>
      </c>
      <c r="C521" s="396"/>
      <c r="D521" s="396"/>
      <c r="E521" s="396"/>
      <c r="F521" s="396"/>
      <c r="G521" s="396"/>
      <c r="H521" s="396"/>
      <c r="I521" s="396"/>
      <c r="M521" s="20"/>
    </row>
    <row r="522" spans="2:13" ht="13.5" hidden="1" outlineLevel="1">
      <c r="B522" s="205"/>
      <c r="C522" s="205" t="s">
        <v>57</v>
      </c>
      <c r="D522" s="205" t="s">
        <v>58</v>
      </c>
      <c r="E522" s="205" t="s">
        <v>180</v>
      </c>
      <c r="F522" s="205" t="s">
        <v>181</v>
      </c>
      <c r="G522" s="205" t="s">
        <v>182</v>
      </c>
      <c r="H522" s="205" t="s">
        <v>183</v>
      </c>
      <c r="I522" s="205"/>
      <c r="M522" s="20"/>
    </row>
    <row r="523" spans="2:13" ht="13.5" hidden="1" outlineLevel="1">
      <c r="B523" s="221" t="s">
        <v>235</v>
      </c>
      <c r="C523" s="220"/>
      <c r="D523" s="220"/>
      <c r="E523" s="220"/>
      <c r="F523" s="220"/>
      <c r="G523" s="220"/>
      <c r="H523" s="220"/>
      <c r="I523" s="220"/>
      <c r="M523" s="20"/>
    </row>
    <row r="524" spans="2:13" ht="14.25" hidden="1" outlineLevel="1">
      <c r="B524" s="64" t="s">
        <v>225</v>
      </c>
      <c r="C524" s="65"/>
      <c r="D524" s="65">
        <f t="shared" ref="D524:H533" si="5">ROUND(SUMIFS(D$96:D$213,$K$96:$K$213,$K524),6)</f>
        <v>0</v>
      </c>
      <c r="E524" s="65">
        <f t="shared" si="5"/>
        <v>0</v>
      </c>
      <c r="F524" s="65">
        <f t="shared" si="5"/>
        <v>0</v>
      </c>
      <c r="G524" s="65">
        <f t="shared" si="5"/>
        <v>0</v>
      </c>
      <c r="H524" s="65">
        <f t="shared" si="5"/>
        <v>0</v>
      </c>
      <c r="I524" s="135"/>
      <c r="K524" s="95" t="s">
        <v>225</v>
      </c>
      <c r="M524" s="20"/>
    </row>
    <row r="525" spans="2:13" ht="14.25" hidden="1" outlineLevel="1">
      <c r="B525" s="64" t="s">
        <v>59</v>
      </c>
      <c r="C525" s="65"/>
      <c r="D525" s="65">
        <f t="shared" si="5"/>
        <v>0</v>
      </c>
      <c r="E525" s="65">
        <f t="shared" si="5"/>
        <v>0</v>
      </c>
      <c r="F525" s="65">
        <f t="shared" si="5"/>
        <v>0</v>
      </c>
      <c r="G525" s="65">
        <f t="shared" si="5"/>
        <v>0</v>
      </c>
      <c r="H525" s="65">
        <f t="shared" si="5"/>
        <v>0</v>
      </c>
      <c r="I525" s="135"/>
      <c r="K525" s="95" t="s">
        <v>59</v>
      </c>
      <c r="M525" s="20"/>
    </row>
    <row r="526" spans="2:13" ht="14.25" hidden="1" outlineLevel="1">
      <c r="B526" s="64" t="s">
        <v>61</v>
      </c>
      <c r="C526" s="65"/>
      <c r="D526" s="65">
        <f t="shared" si="5"/>
        <v>0</v>
      </c>
      <c r="E526" s="65">
        <f t="shared" si="5"/>
        <v>0</v>
      </c>
      <c r="F526" s="65">
        <f t="shared" si="5"/>
        <v>0</v>
      </c>
      <c r="G526" s="65">
        <f t="shared" si="5"/>
        <v>0</v>
      </c>
      <c r="H526" s="65">
        <f t="shared" si="5"/>
        <v>0</v>
      </c>
      <c r="I526" s="135"/>
      <c r="K526" s="95" t="s">
        <v>61</v>
      </c>
      <c r="M526" s="20"/>
    </row>
    <row r="527" spans="2:13" ht="14.25" hidden="1" outlineLevel="1">
      <c r="B527" s="64" t="s">
        <v>62</v>
      </c>
      <c r="C527" s="65"/>
      <c r="D527" s="65">
        <f t="shared" si="5"/>
        <v>0</v>
      </c>
      <c r="E527" s="65">
        <f t="shared" si="5"/>
        <v>0</v>
      </c>
      <c r="F527" s="65">
        <f t="shared" si="5"/>
        <v>0</v>
      </c>
      <c r="G527" s="65">
        <f t="shared" si="5"/>
        <v>0</v>
      </c>
      <c r="H527" s="65">
        <f t="shared" si="5"/>
        <v>0</v>
      </c>
      <c r="I527" s="135"/>
      <c r="K527" s="95" t="s">
        <v>62</v>
      </c>
      <c r="M527" s="20"/>
    </row>
    <row r="528" spans="2:13" ht="14.25" hidden="1" outlineLevel="1">
      <c r="B528" s="64" t="s">
        <v>222</v>
      </c>
      <c r="C528" s="65"/>
      <c r="D528" s="65">
        <f t="shared" si="5"/>
        <v>0</v>
      </c>
      <c r="E528" s="65">
        <f t="shared" si="5"/>
        <v>0</v>
      </c>
      <c r="F528" s="65">
        <f t="shared" si="5"/>
        <v>0</v>
      </c>
      <c r="G528" s="65">
        <f t="shared" si="5"/>
        <v>0</v>
      </c>
      <c r="H528" s="65">
        <f t="shared" si="5"/>
        <v>0</v>
      </c>
      <c r="I528" s="135"/>
      <c r="K528" s="95" t="s">
        <v>222</v>
      </c>
      <c r="M528" s="20"/>
    </row>
    <row r="529" spans="2:13" ht="14.25" hidden="1" outlineLevel="1">
      <c r="B529" s="64" t="s">
        <v>223</v>
      </c>
      <c r="C529" s="65"/>
      <c r="D529" s="65">
        <f t="shared" si="5"/>
        <v>0</v>
      </c>
      <c r="E529" s="65">
        <f t="shared" si="5"/>
        <v>0</v>
      </c>
      <c r="F529" s="65">
        <f t="shared" si="5"/>
        <v>0</v>
      </c>
      <c r="G529" s="65">
        <f t="shared" si="5"/>
        <v>0</v>
      </c>
      <c r="H529" s="65">
        <f t="shared" si="5"/>
        <v>0</v>
      </c>
      <c r="I529" s="135"/>
      <c r="K529" s="95" t="s">
        <v>223</v>
      </c>
      <c r="M529" s="20"/>
    </row>
    <row r="530" spans="2:13" ht="14.25" hidden="1" outlineLevel="1">
      <c r="B530" s="64" t="s">
        <v>63</v>
      </c>
      <c r="C530" s="65"/>
      <c r="D530" s="65">
        <f t="shared" si="5"/>
        <v>0</v>
      </c>
      <c r="E530" s="65">
        <f t="shared" si="5"/>
        <v>0</v>
      </c>
      <c r="F530" s="65">
        <f t="shared" si="5"/>
        <v>0</v>
      </c>
      <c r="G530" s="65">
        <f t="shared" si="5"/>
        <v>0</v>
      </c>
      <c r="H530" s="65">
        <f t="shared" si="5"/>
        <v>0</v>
      </c>
      <c r="I530" s="135"/>
      <c r="K530" s="95" t="s">
        <v>63</v>
      </c>
      <c r="M530" s="20"/>
    </row>
    <row r="531" spans="2:13" ht="14.25" hidden="1" outlineLevel="1">
      <c r="B531" s="64" t="s">
        <v>224</v>
      </c>
      <c r="C531" s="65"/>
      <c r="D531" s="65">
        <f t="shared" si="5"/>
        <v>0</v>
      </c>
      <c r="E531" s="65">
        <f t="shared" si="5"/>
        <v>0</v>
      </c>
      <c r="F531" s="65">
        <f t="shared" si="5"/>
        <v>0</v>
      </c>
      <c r="G531" s="65">
        <f t="shared" si="5"/>
        <v>0</v>
      </c>
      <c r="H531" s="65">
        <f t="shared" si="5"/>
        <v>0</v>
      </c>
      <c r="I531" s="135"/>
      <c r="K531" s="95" t="s">
        <v>224</v>
      </c>
      <c r="M531" s="20"/>
    </row>
    <row r="532" spans="2:13" ht="28.5" hidden="1" outlineLevel="1">
      <c r="B532" s="64" t="s">
        <v>196</v>
      </c>
      <c r="C532" s="65"/>
      <c r="D532" s="65">
        <f t="shared" si="5"/>
        <v>0</v>
      </c>
      <c r="E532" s="65">
        <f t="shared" si="5"/>
        <v>0</v>
      </c>
      <c r="F532" s="65">
        <f t="shared" si="5"/>
        <v>0</v>
      </c>
      <c r="G532" s="65">
        <f t="shared" si="5"/>
        <v>0</v>
      </c>
      <c r="H532" s="65">
        <f t="shared" si="5"/>
        <v>0</v>
      </c>
      <c r="I532" s="135"/>
      <c r="K532" s="211" t="s">
        <v>196</v>
      </c>
      <c r="M532" s="20"/>
    </row>
    <row r="533" spans="2:13" ht="14.25" hidden="1" outlineLevel="1">
      <c r="B533" s="64" t="s">
        <v>64</v>
      </c>
      <c r="C533" s="65"/>
      <c r="D533" s="65">
        <f t="shared" si="5"/>
        <v>0</v>
      </c>
      <c r="E533" s="65">
        <f t="shared" si="5"/>
        <v>0</v>
      </c>
      <c r="F533" s="65">
        <f t="shared" si="5"/>
        <v>0</v>
      </c>
      <c r="G533" s="65">
        <f t="shared" si="5"/>
        <v>0</v>
      </c>
      <c r="H533" s="65">
        <f t="shared" si="5"/>
        <v>0</v>
      </c>
      <c r="I533" s="135"/>
      <c r="K533" s="95" t="s">
        <v>64</v>
      </c>
      <c r="M533" s="20"/>
    </row>
    <row r="534" spans="2:13" ht="27.75" hidden="1" outlineLevel="1">
      <c r="B534" s="226" t="s">
        <v>237</v>
      </c>
      <c r="C534" s="65"/>
      <c r="D534" s="228">
        <f>SUM(D524:D533)</f>
        <v>0</v>
      </c>
      <c r="E534" s="228">
        <f t="shared" ref="E534:H534" si="6">SUM(E524:E533)</f>
        <v>0</v>
      </c>
      <c r="F534" s="228">
        <f t="shared" si="6"/>
        <v>0</v>
      </c>
      <c r="G534" s="228">
        <f t="shared" si="6"/>
        <v>0</v>
      </c>
      <c r="H534" s="228">
        <f t="shared" si="6"/>
        <v>0</v>
      </c>
      <c r="I534" s="135"/>
      <c r="K534" s="225"/>
      <c r="M534" s="20"/>
    </row>
    <row r="535" spans="2:13" ht="27.75" hidden="1" outlineLevel="1">
      <c r="B535" s="226" t="s">
        <v>238</v>
      </c>
      <c r="C535" s="65"/>
      <c r="D535" s="227">
        <f>SUM($D$534:D534)</f>
        <v>0</v>
      </c>
      <c r="E535" s="227">
        <f>SUM($D$534:E534)</f>
        <v>0</v>
      </c>
      <c r="F535" s="227">
        <f>SUM($D$534:F534)</f>
        <v>0</v>
      </c>
      <c r="G535" s="227">
        <f>SUM($D$534:G534)</f>
        <v>0</v>
      </c>
      <c r="H535" s="227">
        <f>SUM($D$534:H534)</f>
        <v>0</v>
      </c>
      <c r="I535" s="135"/>
      <c r="K535" s="225"/>
      <c r="M535" s="20"/>
    </row>
    <row r="536" spans="2:13" ht="41.25" hidden="1" outlineLevel="1">
      <c r="B536" s="226" t="s">
        <v>242</v>
      </c>
      <c r="C536" s="65"/>
      <c r="D536" s="227">
        <f>D534-D549</f>
        <v>0</v>
      </c>
      <c r="E536" s="227">
        <f t="shared" ref="E536:H536" si="7">E534-E549</f>
        <v>0</v>
      </c>
      <c r="F536" s="227">
        <f t="shared" si="7"/>
        <v>0</v>
      </c>
      <c r="G536" s="227">
        <f t="shared" si="7"/>
        <v>0</v>
      </c>
      <c r="H536" s="227">
        <f t="shared" si="7"/>
        <v>0</v>
      </c>
      <c r="I536" s="135"/>
      <c r="K536" s="225"/>
      <c r="M536" s="20"/>
    </row>
    <row r="537" spans="2:13" ht="41.25" hidden="1" outlineLevel="1">
      <c r="B537" s="226" t="s">
        <v>240</v>
      </c>
      <c r="C537" s="65"/>
      <c r="D537" s="227">
        <f>SUM($D$536:D$536)</f>
        <v>0</v>
      </c>
      <c r="E537" s="227">
        <f>SUM($D$536:E$536)</f>
        <v>0</v>
      </c>
      <c r="F537" s="227">
        <f>SUM($D$536:F$536)</f>
        <v>0</v>
      </c>
      <c r="G537" s="227">
        <f>SUM($D$536:G$536)</f>
        <v>0</v>
      </c>
      <c r="H537" s="227">
        <f>SUM($D$536:H$536)</f>
        <v>0</v>
      </c>
      <c r="I537" s="135"/>
      <c r="K537" s="225"/>
      <c r="M537" s="20"/>
    </row>
    <row r="538" spans="2:13" ht="13.5" hidden="1" outlineLevel="1">
      <c r="B538" s="223" t="s">
        <v>236</v>
      </c>
      <c r="C538" s="222"/>
      <c r="D538" s="222"/>
      <c r="E538" s="222"/>
      <c r="F538" s="222"/>
      <c r="G538" s="222"/>
      <c r="H538" s="222"/>
      <c r="I538" s="222"/>
      <c r="M538" s="20"/>
    </row>
    <row r="539" spans="2:13" ht="14.25" hidden="1" outlineLevel="1">
      <c r="B539" s="64" t="s">
        <v>225</v>
      </c>
      <c r="C539" s="65"/>
      <c r="D539" s="231">
        <f t="shared" ref="D539:D548" si="8">ROUND(SUMIFS(D$96:D$213,$K$96:$K$213,$K539)/2/25,6)</f>
        <v>0</v>
      </c>
      <c r="E539" s="231">
        <f t="shared" ref="E539:E548" si="9">ROUND(SUMIFS(E$96:E$213,$K$96:$K$213,$K539)/2/25+SUMIFS(D$96:D$213,$K$96:$K$213,$K539)/25,6)</f>
        <v>0</v>
      </c>
      <c r="F539" s="231">
        <f t="shared" ref="F539:F548" si="10">ROUND(SUMIFS(F$96:F$213,$K$96:$K$213,$K539)/2/25+SUMIFS(D$96:D$213,$K$96:$K$213,$K539)/25+SUMIFS(E$96:E$213,$K$96:$K$213,$K539)/25,6)</f>
        <v>0</v>
      </c>
      <c r="G539" s="231">
        <f t="shared" ref="G539:G548" si="11">ROUND(SUMIFS(G$96:G$213,$K$96:$K$213,$K539)/2/25+SUMIFS(D$96:D$213,$K$96:$K$213,$K539)/25+SUMIFS(E$96:E$213,$K$96:$K$213,$K539)/25+SUMIFS(F$96:F$213,$K$96:$K$213,$K539)/25,6)</f>
        <v>0</v>
      </c>
      <c r="H539" s="231">
        <f t="shared" ref="H539:H548" si="12">ROUND(SUMIFS(H$96:H$213,$K$96:$K$213,$K539)/2/25+SUMIFS(D$96:D$213,$K$96:$K$213,$K539)/25+SUMIFS(E$96:E$213,$K$96:$K$213,$K539)/25+SUMIFS(F$96:F$213,$K$96:$K$213,$K539)/25+SUMIFS(G$96:G$213,$K$96:$K$213,$K539)/25,6)</f>
        <v>0</v>
      </c>
      <c r="I539" s="135"/>
      <c r="K539" s="95" t="s">
        <v>225</v>
      </c>
      <c r="M539" s="20"/>
    </row>
    <row r="540" spans="2:13" ht="14.25" hidden="1" outlineLevel="1">
      <c r="B540" s="64" t="s">
        <v>59</v>
      </c>
      <c r="C540" s="65"/>
      <c r="D540" s="231">
        <f t="shared" si="8"/>
        <v>0</v>
      </c>
      <c r="E540" s="231">
        <f t="shared" si="9"/>
        <v>0</v>
      </c>
      <c r="F540" s="231">
        <f t="shared" si="10"/>
        <v>0</v>
      </c>
      <c r="G540" s="231">
        <f t="shared" si="11"/>
        <v>0</v>
      </c>
      <c r="H540" s="231">
        <f t="shared" si="12"/>
        <v>0</v>
      </c>
      <c r="I540" s="135"/>
      <c r="K540" s="95" t="s">
        <v>59</v>
      </c>
      <c r="M540" s="20"/>
    </row>
    <row r="541" spans="2:13" ht="14.25" hidden="1" outlineLevel="1">
      <c r="B541" s="64" t="s">
        <v>61</v>
      </c>
      <c r="C541" s="65"/>
      <c r="D541" s="231">
        <f t="shared" si="8"/>
        <v>0</v>
      </c>
      <c r="E541" s="231">
        <f t="shared" si="9"/>
        <v>0</v>
      </c>
      <c r="F541" s="231">
        <f t="shared" si="10"/>
        <v>0</v>
      </c>
      <c r="G541" s="231">
        <f t="shared" si="11"/>
        <v>0</v>
      </c>
      <c r="H541" s="231">
        <f t="shared" si="12"/>
        <v>0</v>
      </c>
      <c r="I541" s="135"/>
      <c r="K541" s="95" t="s">
        <v>61</v>
      </c>
      <c r="M541" s="20"/>
    </row>
    <row r="542" spans="2:13" ht="14.25" hidden="1" outlineLevel="1">
      <c r="B542" s="64" t="s">
        <v>62</v>
      </c>
      <c r="C542" s="65"/>
      <c r="D542" s="231">
        <f t="shared" si="8"/>
        <v>0</v>
      </c>
      <c r="E542" s="231">
        <f t="shared" si="9"/>
        <v>0</v>
      </c>
      <c r="F542" s="231">
        <f t="shared" si="10"/>
        <v>0</v>
      </c>
      <c r="G542" s="231">
        <f t="shared" si="11"/>
        <v>0</v>
      </c>
      <c r="H542" s="231">
        <f t="shared" si="12"/>
        <v>0</v>
      </c>
      <c r="I542" s="135"/>
      <c r="K542" s="95" t="s">
        <v>62</v>
      </c>
      <c r="M542" s="20"/>
    </row>
    <row r="543" spans="2:13" ht="14.25" hidden="1" outlineLevel="1">
      <c r="B543" s="64" t="s">
        <v>222</v>
      </c>
      <c r="C543" s="65"/>
      <c r="D543" s="231">
        <f t="shared" si="8"/>
        <v>0</v>
      </c>
      <c r="E543" s="231">
        <f t="shared" si="9"/>
        <v>0</v>
      </c>
      <c r="F543" s="231">
        <f t="shared" si="10"/>
        <v>0</v>
      </c>
      <c r="G543" s="231">
        <f t="shared" si="11"/>
        <v>0</v>
      </c>
      <c r="H543" s="231">
        <f t="shared" si="12"/>
        <v>0</v>
      </c>
      <c r="I543" s="135"/>
      <c r="K543" s="95" t="s">
        <v>222</v>
      </c>
      <c r="M543" s="20"/>
    </row>
    <row r="544" spans="2:13" ht="14.25" hidden="1" outlineLevel="1">
      <c r="B544" s="64" t="s">
        <v>223</v>
      </c>
      <c r="C544" s="65"/>
      <c r="D544" s="231">
        <f t="shared" si="8"/>
        <v>0</v>
      </c>
      <c r="E544" s="231">
        <f t="shared" si="9"/>
        <v>0</v>
      </c>
      <c r="F544" s="231">
        <f t="shared" si="10"/>
        <v>0</v>
      </c>
      <c r="G544" s="231">
        <f t="shared" si="11"/>
        <v>0</v>
      </c>
      <c r="H544" s="231">
        <f t="shared" si="12"/>
        <v>0</v>
      </c>
      <c r="I544" s="135"/>
      <c r="K544" s="95" t="s">
        <v>223</v>
      </c>
      <c r="M544" s="20"/>
    </row>
    <row r="545" spans="2:13" ht="14.25" hidden="1" outlineLevel="1">
      <c r="B545" s="64" t="s">
        <v>63</v>
      </c>
      <c r="C545" s="65"/>
      <c r="D545" s="231">
        <f t="shared" si="8"/>
        <v>0</v>
      </c>
      <c r="E545" s="231">
        <f t="shared" si="9"/>
        <v>0</v>
      </c>
      <c r="F545" s="231">
        <f t="shared" si="10"/>
        <v>0</v>
      </c>
      <c r="G545" s="231">
        <f t="shared" si="11"/>
        <v>0</v>
      </c>
      <c r="H545" s="231">
        <f t="shared" si="12"/>
        <v>0</v>
      </c>
      <c r="I545" s="135"/>
      <c r="K545" s="95" t="s">
        <v>63</v>
      </c>
      <c r="M545" s="20"/>
    </row>
    <row r="546" spans="2:13" ht="14.25" hidden="1" outlineLevel="1">
      <c r="B546" s="64" t="s">
        <v>224</v>
      </c>
      <c r="C546" s="65"/>
      <c r="D546" s="231">
        <f t="shared" si="8"/>
        <v>0</v>
      </c>
      <c r="E546" s="231">
        <f t="shared" si="9"/>
        <v>0</v>
      </c>
      <c r="F546" s="231">
        <f t="shared" si="10"/>
        <v>0</v>
      </c>
      <c r="G546" s="231">
        <f t="shared" si="11"/>
        <v>0</v>
      </c>
      <c r="H546" s="231">
        <f t="shared" si="12"/>
        <v>0</v>
      </c>
      <c r="I546" s="135"/>
      <c r="K546" s="95" t="s">
        <v>224</v>
      </c>
      <c r="M546" s="20"/>
    </row>
    <row r="547" spans="2:13" ht="28.5" hidden="1" outlineLevel="1">
      <c r="B547" s="64" t="s">
        <v>196</v>
      </c>
      <c r="C547" s="65"/>
      <c r="D547" s="231">
        <f t="shared" si="8"/>
        <v>0</v>
      </c>
      <c r="E547" s="231">
        <f t="shared" si="9"/>
        <v>0</v>
      </c>
      <c r="F547" s="231">
        <f t="shared" si="10"/>
        <v>0</v>
      </c>
      <c r="G547" s="231">
        <f t="shared" si="11"/>
        <v>0</v>
      </c>
      <c r="H547" s="231">
        <f t="shared" si="12"/>
        <v>0</v>
      </c>
      <c r="I547" s="135"/>
      <c r="K547" s="211" t="s">
        <v>196</v>
      </c>
      <c r="M547" s="20"/>
    </row>
    <row r="548" spans="2:13" ht="14.25" hidden="1" outlineLevel="1">
      <c r="B548" s="64" t="s">
        <v>64</v>
      </c>
      <c r="C548" s="65"/>
      <c r="D548" s="231">
        <f t="shared" si="8"/>
        <v>0</v>
      </c>
      <c r="E548" s="231">
        <f t="shared" si="9"/>
        <v>0</v>
      </c>
      <c r="F548" s="231">
        <f t="shared" si="10"/>
        <v>0</v>
      </c>
      <c r="G548" s="231">
        <f t="shared" si="11"/>
        <v>0</v>
      </c>
      <c r="H548" s="231">
        <f t="shared" si="12"/>
        <v>0</v>
      </c>
      <c r="I548" s="135"/>
      <c r="K548" s="95" t="s">
        <v>64</v>
      </c>
      <c r="M548" s="20"/>
    </row>
    <row r="549" spans="2:13" ht="27.75" hidden="1" outlineLevel="1">
      <c r="B549" s="202" t="s">
        <v>239</v>
      </c>
      <c r="C549" s="61"/>
      <c r="D549" s="229">
        <f>SUM(D539:D548)</f>
        <v>0</v>
      </c>
      <c r="E549" s="229">
        <f>SUM(E539:E548)</f>
        <v>0</v>
      </c>
      <c r="F549" s="229">
        <f>SUM(F539:F548)</f>
        <v>0</v>
      </c>
      <c r="G549" s="229">
        <f>SUM(G539:G548)</f>
        <v>0</v>
      </c>
      <c r="H549" s="229">
        <f>SUM(H539:H548)</f>
        <v>0</v>
      </c>
      <c r="I549" s="134"/>
      <c r="M549" s="20"/>
    </row>
    <row r="550" spans="2:13" ht="27.75" hidden="1" outlineLevel="1">
      <c r="B550" s="202" t="s">
        <v>241</v>
      </c>
      <c r="C550" s="61"/>
      <c r="D550" s="232">
        <f>SUM($D$549:D549)</f>
        <v>0</v>
      </c>
      <c r="E550" s="232">
        <f>SUM($D$549:E549)</f>
        <v>0</v>
      </c>
      <c r="F550" s="232">
        <f>SUM($D$549:F549)</f>
        <v>0</v>
      </c>
      <c r="G550" s="232">
        <f>SUM($D$549:G549)</f>
        <v>0</v>
      </c>
      <c r="H550" s="232">
        <f>SUM($D$549:H549)</f>
        <v>0</v>
      </c>
      <c r="I550" s="134"/>
      <c r="M550" s="20"/>
    </row>
    <row r="551" spans="2:13" ht="14.25" hidden="1" outlineLevel="1">
      <c r="B551" s="206"/>
      <c r="C551" s="200"/>
      <c r="D551" s="200"/>
      <c r="E551" s="200"/>
      <c r="F551" s="200"/>
      <c r="G551" s="200"/>
      <c r="H551" s="200"/>
      <c r="I551" s="201"/>
      <c r="M551" s="20"/>
    </row>
    <row r="552" spans="2:13" ht="13.5" hidden="1" outlineLevel="1">
      <c r="B552" s="156" t="s">
        <v>213</v>
      </c>
      <c r="C552" s="157"/>
      <c r="D552" s="157">
        <f>D320+D309-D317</f>
        <v>0</v>
      </c>
      <c r="E552" s="157">
        <f>E320+E309-E317</f>
        <v>0</v>
      </c>
      <c r="F552" s="157">
        <f>F320+F309-F317</f>
        <v>0</v>
      </c>
      <c r="G552" s="157">
        <f>G320+G309-G317</f>
        <v>0</v>
      </c>
      <c r="H552" s="157">
        <f>H320+H309-H317</f>
        <v>0</v>
      </c>
      <c r="I552" s="157"/>
      <c r="M552" s="20"/>
    </row>
    <row r="553" spans="2:13" ht="13.5" collapsed="1">
      <c r="M553" s="20"/>
    </row>
  </sheetData>
  <sheetProtection sheet="1" insertRows="0" deleteRows="0"/>
  <sortState xmlns:xlrd2="http://schemas.microsoft.com/office/spreadsheetml/2017/richdata2" ref="B386:C401">
    <sortCondition ref="B386:B401"/>
  </sortState>
  <mergeCells count="9">
    <mergeCell ref="B3:I3"/>
    <mergeCell ref="B6:I6"/>
    <mergeCell ref="C1:I1"/>
    <mergeCell ref="B521:I521"/>
    <mergeCell ref="K323:L323"/>
    <mergeCell ref="B4:I4"/>
    <mergeCell ref="B323:I323"/>
    <mergeCell ref="B312:G312"/>
    <mergeCell ref="B311:I311"/>
  </mergeCells>
  <phoneticPr fontId="103" type="noConversion"/>
  <conditionalFormatting sqref="B522:I551">
    <cfRule type="expression" dxfId="17" priority="12">
      <formula>#REF!</formula>
    </cfRule>
  </conditionalFormatting>
  <conditionalFormatting sqref="D309">
    <cfRule type="cellIs" dxfId="16" priority="1" operator="lessThan">
      <formula>-1839</formula>
    </cfRule>
  </conditionalFormatting>
  <dataValidations count="15">
    <dataValidation type="list" showInputMessage="1" showErrorMessage="1" sqref="K52:K90" xr:uid="{1A4DA255-7180-4733-9122-78C12CB24BA6}">
      <formula1>Principaux_portefeuilles</formula1>
    </dataValidation>
    <dataValidation type="list" allowBlank="1" showInputMessage="1" showErrorMessage="1" sqref="K48" xr:uid="{A8682B68-E313-4D95-A86C-3C8D3B0A5D98}">
      <formula1>$A$373:$A$382</formula1>
    </dataValidation>
    <dataValidation type="decimal" operator="greaterThan" showInputMessage="1" showErrorMessage="1" error="Cette cellule n'accepte que des nombres." sqref="D52:H91 D8:H47 D218:H296 D309:H309 D96:H213" xr:uid="{BA06F6AB-43AA-4E3A-B136-A795024187FF}">
      <formula1>-9.99999999999999E+46</formula1>
    </dataValidation>
    <dataValidation operator="lessThanOrEqual" allowBlank="1" showInputMessage="1" showErrorMessage="1" sqref="D307:H307" xr:uid="{27BC1279-BB61-4B4E-BF26-E16DE143687D}"/>
    <dataValidation operator="lessThanOrEqual" showInputMessage="1" showErrorMessage="1" error="Le montant des revenus consacrés au Fonds des générations ne peut être supérieur à 0." sqref="D306" xr:uid="{246F27F9-3ABA-4BB3-8823-2CBCEFAD8A7C}"/>
    <dataValidation type="list" allowBlank="1" sqref="D314:H314" xr:uid="{66C8A88F-C58E-42A3-BDB3-BFBA2489BF92}">
      <formula1>Taux_interets</formula1>
    </dataValidation>
    <dataValidation allowBlank="1" sqref="C314:C315 C316:I320" xr:uid="{B366FC23-7ED4-465D-81F7-A0208745C1C5}"/>
    <dataValidation type="list" showInputMessage="1" showErrorMessage="1" sqref="K8:K46" xr:uid="{C6DC9C15-E55A-4258-BB72-7A79A70C70A1}">
      <formula1>Postes_Bud_Revenus</formula1>
    </dataValidation>
    <dataValidation showInputMessage="1" showErrorMessage="1" sqref="K47 K91 K213 K296 K99 K102 K105 K108 K111 K114 K117 K120 K126 K123 K132 K129 K138 K135 K144 K141 K150 K147 K156 K153 K162 K159 K168 K165 K174 K171 K180 K177 K186 K183 K192 K189 K198 K195 K204 K201 K210 K207 K218 K220 K222 K224 K226 K228 K230 K232 K234 K236 K238 K240 K242 K244 K246 K248 K250 K252 K254 K256 K258 K260 K262 K264 K266 K268 K270 K272 K274 K276 K278 K280 K282 K284 K286 K288 K290 K292 K294" xr:uid="{19E0730E-9ACC-4A98-8A8B-2347AECF9D6B}"/>
    <dataValidation type="list" showInputMessage="1" showErrorMessage="1" sqref="K96" xr:uid="{F26C9FF7-BC5E-41B8-8F66-D031156429D3}">
      <formula1>Principaux_portefeuilles_PQI</formula1>
    </dataValidation>
    <dataValidation type="list" showInputMessage="1" showErrorMessage="1" sqref="B97 B100 B103 B106 B109 B112 B115 B118 B121 B127 B124 B133 B130 B139 B136 B145 B142 B151 B148 B157 B154 B163 B160 B169 B166 B175 B172 B181 B178 B187 B184 B193 B190 B199 B196 B205 B202 B211 B208" xr:uid="{62245916-0F0F-4D61-94D4-DC721D5A45DA}">
      <formula1>Secteurs_PQI_OP_colonne1</formula1>
    </dataValidation>
    <dataValidation type="list" showInputMessage="1" showErrorMessage="1" sqref="B219 B221 B223 B225 B227 B229 B231 B233 B235 B237 B239 B241 B243 B245 B247 B249 B251 B253 B255 B257 B259 B261 B263 B265 B267 B269 B271 B273 B275 B277 B279 B281 B283 B285 B287 B289 B291 B293 B295" xr:uid="{141F6131-C985-44DE-BCF2-15ECBDF10F6E}">
      <formula1>Secteurs_PQI_OS_colonne1</formula1>
    </dataValidation>
    <dataValidation type="list" showDropDown="1" showInputMessage="1" showErrorMessage="1" sqref="K219 K221 K223 K225 K227 K229 K231 K233 K235 K237 K239 K241 K243 K245 K247 K249 K251 K253 K255 K257 K259 K261 K263 K265 K267 K269 K271 K273 K275 K277 K279 K281 K283 K285 K287 K289 K291 K293 K295" xr:uid="{8CCD0AEE-CA36-49E8-BF03-39B6CB6F43B5}">
      <formula1>"Sources_PQI_OS_colonne2"</formula1>
    </dataValidation>
    <dataValidation type="list" showDropDown="1" showInputMessage="1" showErrorMessage="1" sqref="K97 K112 K100 K103 K106 K109 K211 K115 K118 K124 K127 K130 K133 K136 K139 K142 K145 K148 K151 K154 K157 K160 K163 K166 K169 K172 K175 K178 K181 K184 K187 K190 K193 K196 K199 K202 K205 K208 K121" xr:uid="{0529C536-E932-43E6-8294-09CDAAE59CED}">
      <formula1>Secteurs_PQI_OP_colonne2</formula1>
    </dataValidation>
    <dataValidation type="list" operator="equal" showErrorMessage="1" sqref="D315:H315" xr:uid="{81921C6D-2175-46F2-8589-64419DAA1CF1}">
      <formula1>$B$462</formula1>
    </dataValidation>
  </dataValidations>
  <printOptions horizontalCentered="1"/>
  <pageMargins left="0.23622047244094491" right="0.23622047244094491" top="0.74803149606299213" bottom="0.86614173228346458" header="0.31496062992125984" footer="0.31496062992125984"/>
  <pageSetup scale="50" fitToHeight="2" orientation="landscape" r:id="rId1"/>
  <headerFooter>
    <oddFooter>&amp;C
&amp;G&amp;RPage &amp;P de &amp;N</oddFooter>
  </headerFooter>
  <rowBreaks count="2" manualBreakCount="2">
    <brk id="93" max="13" man="1"/>
    <brk id="300" max="13" man="1"/>
  </rowBreaks>
  <drawing r:id="rId2"/>
  <legacyDrawing r:id="rId3"/>
  <extLst>
    <ext xmlns:x14="http://schemas.microsoft.com/office/spreadsheetml/2009/9/main" uri="{CCE6A557-97BC-4b89-ADB6-D9C93CAAB3DF}">
      <x14:dataValidations xmlns:xm="http://schemas.microsoft.com/office/excel/2006/main" count="7">
        <x14:dataValidation type="decimal" operator="lessThanOrEqual" showInputMessage="1" showErrorMessage="1" error="La diminution demandée est plus grande que le montant prévu au cadre financier du rapport préélectoral." xr:uid="{F9394120-35AA-4C90-807B-C4C9CA80B76F}">
          <x14:formula1>
            <xm:f>-'2_C_Financier'!$E$56</xm:f>
          </x14:formula1>
          <xm:sqref>D303:D304</xm:sqref>
        </x14:dataValidation>
        <x14:dataValidation type="decimal" operator="lessThanOrEqual" showInputMessage="1" showErrorMessage="1" error="La diminution demandée est plus grande que le montant prévu au cadre financier du rapport préélectoral." xr:uid="{1CA64E8E-C1E1-4F2F-B7F3-01ACAE3FF79A}">
          <x14:formula1>
            <xm:f>-'2_C_Financier'!$F$56</xm:f>
          </x14:formula1>
          <xm:sqref>E303:E304</xm:sqref>
        </x14:dataValidation>
        <x14:dataValidation type="decimal" operator="lessThanOrEqual" showInputMessage="1" showErrorMessage="1" error="La diminution demandée est plus grande que le montant prévu au cadre financier du rapport préélectoral." xr:uid="{3DFDA1C8-433C-4F75-8525-811C5BCE5641}">
          <x14:formula1>
            <xm:f>-'2_C_Financier'!$G$56</xm:f>
          </x14:formula1>
          <xm:sqref>F303:F304</xm:sqref>
        </x14:dataValidation>
        <x14:dataValidation type="decimal" operator="lessThanOrEqual" showInputMessage="1" showErrorMessage="1" error="La diminution demandée est plus grande que le montant prévu au cadre financier du rapport préélectoral." xr:uid="{C067AC60-50B2-4EB6-B34C-603E47917C2C}">
          <x14:formula1>
            <xm:f>-'2_C_Financier'!$H$56</xm:f>
          </x14:formula1>
          <xm:sqref>G303:G304</xm:sqref>
        </x14:dataValidation>
        <x14:dataValidation type="decimal" operator="lessThanOrEqual" showInputMessage="1" showErrorMessage="1" error="La diminution demandée est plus grande que le montant prévu au cadre financier du rapport préélectoral." xr:uid="{504569BE-FF48-4DED-8E09-EAD5B29C7913}">
          <x14:formula1>
            <xm:f>-'2_C_Financier'!$I$56</xm:f>
          </x14:formula1>
          <xm:sqref>H303:H304</xm:sqref>
        </x14:dataValidation>
        <x14:dataValidation type="decimal" operator="lessThanOrEqual" showInputMessage="1" showErrorMessage="1" error="Le montant des revenus consacrés au Fonds des générations ne peut être supérieur à 0." xr:uid="{54709896-A251-4826-A54C-628F47950C32}">
          <x14:formula1>
            <xm:f>-'2_C_Financier'!F62</xm:f>
          </x14:formula1>
          <xm:sqref>E306:H306</xm:sqref>
        </x14:dataValidation>
        <x14:dataValidation type="decimal" operator="lessThanOrEqual" showInputMessage="1" showErrorMessage="1" error="La diminution demandée est plus grande que le montant prévu au cadre financier du rapport préélectoral." xr:uid="{599D3642-2066-4FCE-ACCD-F65FBCD00D14}">
          <x14:formula1>
            <xm:f>-'2_C_Financier'!E61</xm:f>
          </x14:formula1>
          <xm:sqref>D305:H305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0D303-4F57-48E6-B9C9-F7C22B5C7FF3}">
  <sheetPr codeName="Feuil4">
    <tabColor rgb="FFBDE3F2"/>
  </sheetPr>
  <dimension ref="A1:X125"/>
  <sheetViews>
    <sheetView zoomScaleNormal="100" zoomScaleSheetLayoutView="115" workbookViewId="0"/>
  </sheetViews>
  <sheetFormatPr baseColWidth="10" defaultColWidth="11.42578125" defaultRowHeight="12.75" outlineLevelRow="1" outlineLevelCol="1"/>
  <cols>
    <col min="1" max="1" width="2.7109375" customWidth="1"/>
    <col min="2" max="2" width="41.42578125" customWidth="1"/>
    <col min="3" max="3" width="10.7109375" hidden="1" customWidth="1" outlineLevel="1"/>
    <col min="4" max="4" width="10.7109375" customWidth="1" collapsed="1"/>
    <col min="5" max="9" width="10.7109375" customWidth="1"/>
    <col min="10" max="10" width="11.42578125" customWidth="1"/>
    <col min="11" max="11" width="2.7109375" customWidth="1"/>
    <col min="12" max="13" width="1.7109375" customWidth="1"/>
    <col min="14" max="14" width="109.85546875" customWidth="1"/>
    <col min="15" max="15" width="97.28515625" customWidth="1"/>
    <col min="16" max="22" width="8.5703125" customWidth="1"/>
  </cols>
  <sheetData>
    <row r="1" spans="1:24" s="20" customFormat="1" ht="45" customHeight="1">
      <c r="A1" s="266"/>
      <c r="B1" s="267"/>
      <c r="C1" s="394" t="s">
        <v>178</v>
      </c>
      <c r="D1" s="394"/>
      <c r="E1" s="394"/>
      <c r="F1" s="394"/>
      <c r="G1" s="394"/>
      <c r="H1" s="394"/>
      <c r="I1" s="394"/>
      <c r="J1" s="394"/>
      <c r="K1" s="395"/>
    </row>
    <row r="2" spans="1:24" s="20" customFormat="1" ht="12" customHeight="1">
      <c r="A2" s="40"/>
      <c r="B2" s="40"/>
      <c r="C2" s="40"/>
      <c r="D2" s="40"/>
      <c r="E2" s="40"/>
      <c r="F2" s="40"/>
      <c r="G2" s="40"/>
      <c r="H2" s="41"/>
      <c r="I2" s="41"/>
      <c r="J2" s="41"/>
      <c r="K2" s="41"/>
    </row>
    <row r="3" spans="1:24" s="20" customFormat="1" ht="16.5" customHeight="1">
      <c r="B3" s="408" t="s">
        <v>192</v>
      </c>
      <c r="C3" s="408"/>
      <c r="D3" s="408"/>
      <c r="E3" s="408"/>
      <c r="F3" s="408"/>
      <c r="G3" s="408"/>
      <c r="H3" s="408"/>
      <c r="I3" s="408"/>
      <c r="J3" s="438"/>
      <c r="L3" s="43"/>
      <c r="N3" s="109"/>
      <c r="O3" s="109"/>
      <c r="W3" s="109"/>
      <c r="X3" s="109"/>
    </row>
    <row r="4" spans="1:24" s="20" customFormat="1" ht="16.5" thickBot="1">
      <c r="B4" s="434" t="s">
        <v>385</v>
      </c>
      <c r="C4" s="434"/>
      <c r="D4" s="434"/>
      <c r="E4" s="434"/>
      <c r="F4" s="434"/>
      <c r="G4" s="434"/>
      <c r="H4" s="434"/>
      <c r="I4" s="434"/>
      <c r="J4" s="435"/>
      <c r="L4" s="43"/>
      <c r="N4" s="109"/>
      <c r="O4" s="109"/>
      <c r="W4" s="109"/>
      <c r="X4" s="109"/>
    </row>
    <row r="5" spans="1:24" s="20" customFormat="1" ht="24" customHeight="1">
      <c r="B5" s="44"/>
      <c r="C5" s="45" t="s">
        <v>56</v>
      </c>
      <c r="D5" s="21" t="s">
        <v>57</v>
      </c>
      <c r="E5" s="21" t="s">
        <v>58</v>
      </c>
      <c r="F5" s="21" t="s">
        <v>180</v>
      </c>
      <c r="G5" s="21" t="s">
        <v>181</v>
      </c>
      <c r="H5" s="21" t="s">
        <v>182</v>
      </c>
      <c r="I5" s="21" t="s">
        <v>183</v>
      </c>
      <c r="J5" s="163" t="s">
        <v>194</v>
      </c>
      <c r="L5" s="43"/>
      <c r="N5" s="109"/>
      <c r="O5" s="109"/>
      <c r="W5" s="109"/>
      <c r="X5" s="109"/>
    </row>
    <row r="6" spans="1:24" s="20" customFormat="1" ht="15">
      <c r="B6" s="47" t="s">
        <v>70</v>
      </c>
      <c r="C6" s="48">
        <f>C16+C18</f>
        <v>156088</v>
      </c>
      <c r="D6" s="48">
        <f>D16+D18</f>
        <v>160428</v>
      </c>
      <c r="E6" s="48">
        <f t="shared" ref="E6:I6" si="0">E16+E18</f>
        <v>168389</v>
      </c>
      <c r="F6" s="48">
        <f t="shared" si="0"/>
        <v>174225</v>
      </c>
      <c r="G6" s="48">
        <f t="shared" si="0"/>
        <v>178844</v>
      </c>
      <c r="H6" s="48">
        <f t="shared" si="0"/>
        <v>182441</v>
      </c>
      <c r="I6" s="48">
        <f t="shared" si="0"/>
        <v>189012</v>
      </c>
      <c r="L6" s="43"/>
      <c r="N6" s="109"/>
      <c r="O6" s="109"/>
      <c r="W6" s="109"/>
      <c r="X6" s="109"/>
    </row>
    <row r="7" spans="1:24" s="20" customFormat="1" ht="15">
      <c r="B7" s="49" t="s">
        <v>33</v>
      </c>
      <c r="C7" s="49"/>
      <c r="D7" s="50">
        <f>IFERROR((D6-C6)/C6*100,0)</f>
        <v>2.78048280457178</v>
      </c>
      <c r="E7" s="50">
        <f t="shared" ref="E7:I7" si="1">IFERROR((E6-D6)/D6*100,0)</f>
        <v>4.9623507118458123</v>
      </c>
      <c r="F7" s="50">
        <f t="shared" si="1"/>
        <v>3.4657845821282862</v>
      </c>
      <c r="G7" s="50">
        <f t="shared" si="1"/>
        <v>2.6511694647725643</v>
      </c>
      <c r="H7" s="50">
        <f t="shared" si="1"/>
        <v>2.0112500279573258</v>
      </c>
      <c r="I7" s="50">
        <f t="shared" si="1"/>
        <v>3.6017123343985178</v>
      </c>
      <c r="J7" s="22">
        <f>IFERROR((POWER(I6/D6,1/5)-1)*100,"Erreur")</f>
        <v>3.333667042747801</v>
      </c>
      <c r="L7" s="43"/>
      <c r="N7" s="109"/>
      <c r="O7" s="109"/>
      <c r="W7" s="109"/>
      <c r="X7" s="109"/>
    </row>
    <row r="8" spans="1:24" s="20" customFormat="1" ht="15.75" outlineLevel="1">
      <c r="B8" s="164" t="s">
        <v>25</v>
      </c>
      <c r="C8" s="51">
        <f>'2_C_Financier'!C8</f>
        <v>45689</v>
      </c>
      <c r="D8" s="51">
        <f>'2_C_Financier'!D8</f>
        <v>48969</v>
      </c>
      <c r="E8" s="51">
        <f>'2_C_Financier'!E8+SUMIFS('6-Simulation'!D$8:D$47,'6-Simulation'!$K$8:$K$47,$B8)</f>
        <v>50942</v>
      </c>
      <c r="F8" s="51">
        <f>'2_C_Financier'!F8+SUMIFS('6-Simulation'!E$8:E$47,'6-Simulation'!$K$8:$K$47,$B8)</f>
        <v>52841</v>
      </c>
      <c r="G8" s="51">
        <f>'2_C_Financier'!G8+SUMIFS('6-Simulation'!F$8:F$47,'6-Simulation'!$K$8:$K$47,$B8)</f>
        <v>54861</v>
      </c>
      <c r="H8" s="51">
        <f>'2_C_Financier'!H8+SUMIFS('6-Simulation'!G$8:G$47,'6-Simulation'!$K$8:$K$47,$B8)</f>
        <v>56867</v>
      </c>
      <c r="I8" s="51">
        <f>'2_C_Financier'!I8+SUMIFS('6-Simulation'!H$8:H$47,'6-Simulation'!$K$8:$K$47,$B8)</f>
        <v>59006</v>
      </c>
      <c r="J8" s="126">
        <f>IFERROR((POWER(I8/D8,1/5)-1)*100,"Erreur")</f>
        <v>3.7994346048477734</v>
      </c>
      <c r="L8" s="43"/>
      <c r="O8" s="109"/>
      <c r="W8" s="109"/>
      <c r="X8" s="109"/>
    </row>
    <row r="9" spans="1:24" s="20" customFormat="1" ht="15" customHeight="1" outlineLevel="1">
      <c r="B9" s="165" t="s">
        <v>26</v>
      </c>
      <c r="C9" s="52">
        <f>'2_C_Financier'!C9</f>
        <v>8852</v>
      </c>
      <c r="D9" s="52">
        <f>'2_C_Financier'!D9</f>
        <v>9304</v>
      </c>
      <c r="E9" s="52">
        <f>'2_C_Financier'!E9+SUMIFS('6-Simulation'!D$8:D$47,'6-Simulation'!$K$8:$K$47,$B9)</f>
        <v>9538</v>
      </c>
      <c r="F9" s="52">
        <f>'2_C_Financier'!F9+SUMIFS('6-Simulation'!E$8:E$47,'6-Simulation'!$K$8:$K$47,$B9)</f>
        <v>9876</v>
      </c>
      <c r="G9" s="52">
        <f>'2_C_Financier'!G9+SUMIFS('6-Simulation'!F$8:F$47,'6-Simulation'!$K$8:$K$47,$B9)</f>
        <v>10327</v>
      </c>
      <c r="H9" s="52">
        <f>'2_C_Financier'!H9+SUMIFS('6-Simulation'!G$8:G$47,'6-Simulation'!$K$8:$K$47,$B9)</f>
        <v>10628</v>
      </c>
      <c r="I9" s="52">
        <f>'2_C_Financier'!I9+SUMIFS('6-Simulation'!H$8:H$47,'6-Simulation'!$K$8:$K$47,$B9)</f>
        <v>10962</v>
      </c>
      <c r="J9" s="127">
        <f t="shared" ref="J9:J14" si="2">IFERROR((POWER(I9/D9,1/5)-1)*100,"Erreur")</f>
        <v>3.3341851608915452</v>
      </c>
      <c r="L9" s="43"/>
      <c r="O9" s="109"/>
      <c r="W9" s="109"/>
      <c r="X9" s="109"/>
    </row>
    <row r="10" spans="1:24" s="20" customFormat="1" ht="15.75" outlineLevel="1">
      <c r="B10" s="165" t="s">
        <v>27</v>
      </c>
      <c r="C10" s="52">
        <f>'2_C_Financier'!C10</f>
        <v>13344</v>
      </c>
      <c r="D10" s="52">
        <f>'2_C_Financier'!D10</f>
        <v>14599</v>
      </c>
      <c r="E10" s="52">
        <f>'2_C_Financier'!E10+SUMIFS('6-Simulation'!D$8:D$47,'6-Simulation'!$K$8:$K$47,$B10)</f>
        <v>14698</v>
      </c>
      <c r="F10" s="52">
        <f>'2_C_Financier'!F10+SUMIFS('6-Simulation'!E$8:E$47,'6-Simulation'!$K$8:$K$47,$B10)</f>
        <v>15252</v>
      </c>
      <c r="G10" s="52">
        <f>'2_C_Financier'!G10+SUMIFS('6-Simulation'!F$8:F$47,'6-Simulation'!$K$8:$K$47,$B10)</f>
        <v>15240</v>
      </c>
      <c r="H10" s="52">
        <f>'2_C_Financier'!H10+SUMIFS('6-Simulation'!G$8:G$47,'6-Simulation'!$K$8:$K$47,$B10)</f>
        <v>15835</v>
      </c>
      <c r="I10" s="52">
        <f>'2_C_Financier'!I10+SUMIFS('6-Simulation'!H$8:H$47,'6-Simulation'!$K$8:$K$47,$B10)</f>
        <v>16875</v>
      </c>
      <c r="J10" s="127">
        <f t="shared" si="2"/>
        <v>2.9399930486301296</v>
      </c>
      <c r="L10" s="43"/>
      <c r="O10" s="109"/>
      <c r="W10" s="109"/>
      <c r="X10" s="109"/>
    </row>
    <row r="11" spans="1:24" s="20" customFormat="1" ht="15.75" outlineLevel="1">
      <c r="B11" s="165" t="s">
        <v>28</v>
      </c>
      <c r="C11" s="52">
        <f>'2_C_Financier'!C11</f>
        <v>1196</v>
      </c>
      <c r="D11" s="52">
        <f>'2_C_Financier'!D11</f>
        <v>1243</v>
      </c>
      <c r="E11" s="52">
        <f>'2_C_Financier'!E11+SUMIFS('6-Simulation'!D$8:D$47,'6-Simulation'!$K$8:$K$47,$B11)</f>
        <v>1301</v>
      </c>
      <c r="F11" s="52">
        <f>'2_C_Financier'!F11+SUMIFS('6-Simulation'!E$8:E$47,'6-Simulation'!$K$8:$K$47,$B11)</f>
        <v>1367</v>
      </c>
      <c r="G11" s="52">
        <f>'2_C_Financier'!G11+SUMIFS('6-Simulation'!F$8:F$47,'6-Simulation'!$K$8:$K$47,$B11)</f>
        <v>1426</v>
      </c>
      <c r="H11" s="52">
        <f>'2_C_Financier'!H11+SUMIFS('6-Simulation'!G$8:G$47,'6-Simulation'!$K$8:$K$47,$B11)</f>
        <v>1479</v>
      </c>
      <c r="I11" s="52">
        <f>'2_C_Financier'!I11+SUMIFS('6-Simulation'!H$8:H$47,'6-Simulation'!$K$8:$K$47,$B11)</f>
        <v>1531</v>
      </c>
      <c r="J11" s="127">
        <f t="shared" si="2"/>
        <v>4.2559409742214394</v>
      </c>
      <c r="L11" s="43"/>
      <c r="O11" s="109"/>
      <c r="W11" s="109"/>
      <c r="X11" s="109"/>
    </row>
    <row r="12" spans="1:24" s="20" customFormat="1" ht="15.75" outlineLevel="1">
      <c r="B12" s="165" t="s">
        <v>29</v>
      </c>
      <c r="C12" s="52">
        <f>'2_C_Financier'!C12</f>
        <v>28377</v>
      </c>
      <c r="D12" s="52">
        <f>'2_C_Financier'!D12</f>
        <v>29639</v>
      </c>
      <c r="E12" s="52">
        <f>'2_C_Financier'!E12+SUMIFS('6-Simulation'!D$8:D$47,'6-Simulation'!$K$8:$K$47,$B12)</f>
        <v>30682</v>
      </c>
      <c r="F12" s="52">
        <f>'2_C_Financier'!F12+SUMIFS('6-Simulation'!E$8:E$47,'6-Simulation'!$K$8:$K$47,$B12)</f>
        <v>31632</v>
      </c>
      <c r="G12" s="52">
        <f>'2_C_Financier'!G12+SUMIFS('6-Simulation'!F$8:F$47,'6-Simulation'!$K$8:$K$47,$B12)</f>
        <v>32416</v>
      </c>
      <c r="H12" s="52">
        <f>'2_C_Financier'!H12+SUMIFS('6-Simulation'!G$8:G$47,'6-Simulation'!$K$8:$K$47,$B12)</f>
        <v>33206</v>
      </c>
      <c r="I12" s="52">
        <f>'2_C_Financier'!I12+SUMIFS('6-Simulation'!H$8:H$47,'6-Simulation'!$K$8:$K$47,$B12)</f>
        <v>34035</v>
      </c>
      <c r="J12" s="127">
        <f t="shared" si="2"/>
        <v>2.8045749087924232</v>
      </c>
      <c r="L12" s="43"/>
      <c r="O12" s="109"/>
      <c r="W12" s="109"/>
      <c r="X12" s="109"/>
    </row>
    <row r="13" spans="1:24" s="20" customFormat="1" ht="15.75" outlineLevel="1">
      <c r="B13" s="165" t="s">
        <v>195</v>
      </c>
      <c r="C13" s="52">
        <f>'2_C_Financier'!C13</f>
        <v>6191</v>
      </c>
      <c r="D13" s="52">
        <f>'2_C_Financier'!D13</f>
        <v>6708</v>
      </c>
      <c r="E13" s="52">
        <f>'2_C_Financier'!E13+SUMIFS('6-Simulation'!D$8:D$47,'6-Simulation'!$K$8:$K$47,$B13)</f>
        <v>6484</v>
      </c>
      <c r="F13" s="52">
        <f>'2_C_Financier'!F13+SUMIFS('6-Simulation'!E$8:E$47,'6-Simulation'!$K$8:$K$47,$B13)</f>
        <v>6928</v>
      </c>
      <c r="G13" s="52">
        <f>'2_C_Financier'!G13+SUMIFS('6-Simulation'!F$8:F$47,'6-Simulation'!$K$8:$K$47,$B13)</f>
        <v>7278</v>
      </c>
      <c r="H13" s="52">
        <f>'2_C_Financier'!H13+SUMIFS('6-Simulation'!G$8:G$47,'6-Simulation'!$K$8:$K$47,$B13)</f>
        <v>7586</v>
      </c>
      <c r="I13" s="52">
        <f>'2_C_Financier'!I13+SUMIFS('6-Simulation'!H$8:H$47,'6-Simulation'!$K$8:$K$47,$B13)</f>
        <v>7823</v>
      </c>
      <c r="J13" s="127">
        <f t="shared" si="2"/>
        <v>3.1231226348830798</v>
      </c>
      <c r="L13" s="43"/>
      <c r="O13" s="109"/>
      <c r="W13" s="109"/>
      <c r="X13" s="109"/>
    </row>
    <row r="14" spans="1:24" s="20" customFormat="1" ht="15.75" outlineLevel="1">
      <c r="B14" s="165" t="s">
        <v>30</v>
      </c>
      <c r="C14" s="52">
        <f>'2_C_Financier'!C14</f>
        <v>16252</v>
      </c>
      <c r="D14" s="52">
        <f>'2_C_Financier'!D14</f>
        <v>14922</v>
      </c>
      <c r="E14" s="52">
        <f>'2_C_Financier'!E14+SUMIFS('6-Simulation'!D$8:D$47,'6-Simulation'!$K$8:$K$47,$B14)</f>
        <v>15790</v>
      </c>
      <c r="F14" s="52">
        <f>'2_C_Financier'!F14+SUMIFS('6-Simulation'!E$8:E$47,'6-Simulation'!$K$8:$K$47,$B14)</f>
        <v>16110</v>
      </c>
      <c r="G14" s="52">
        <f>'2_C_Financier'!G14+SUMIFS('6-Simulation'!F$8:F$47,'6-Simulation'!$K$8:$K$47,$B14)</f>
        <v>16744</v>
      </c>
      <c r="H14" s="52">
        <f>'2_C_Financier'!H14+SUMIFS('6-Simulation'!G$8:G$47,'6-Simulation'!$K$8:$K$47,$B14)</f>
        <v>17385</v>
      </c>
      <c r="I14" s="52">
        <f>'2_C_Financier'!I14+SUMIFS('6-Simulation'!H$8:H$47,'6-Simulation'!$K$8:$K$47,$B14)</f>
        <v>17988</v>
      </c>
      <c r="J14" s="127">
        <f t="shared" si="2"/>
        <v>3.808082413933267</v>
      </c>
      <c r="L14" s="43"/>
      <c r="O14" s="109"/>
      <c r="W14" s="109"/>
      <c r="X14" s="109"/>
    </row>
    <row r="15" spans="1:24" s="20" customFormat="1" ht="15.75" outlineLevel="1">
      <c r="B15" s="166" t="s">
        <v>31</v>
      </c>
      <c r="C15" s="54">
        <f>'2_C_Financier'!C15</f>
        <v>5689</v>
      </c>
      <c r="D15" s="54">
        <f>'2_C_Financier'!D15</f>
        <v>5241</v>
      </c>
      <c r="E15" s="54">
        <f>'2_C_Financier'!E15+SUMIFS('6-Simulation'!D$8:D$47,'6-Simulation'!$K$8:$K$47,$B15)</f>
        <v>5908</v>
      </c>
      <c r="F15" s="54">
        <f>'2_C_Financier'!F15+SUMIFS('6-Simulation'!E$8:E$47,'6-Simulation'!$K$8:$K$47,$B15)</f>
        <v>6208</v>
      </c>
      <c r="G15" s="54">
        <f>'2_C_Financier'!G15+SUMIFS('6-Simulation'!F$8:F$47,'6-Simulation'!$K$8:$K$47,$B15)</f>
        <v>6909</v>
      </c>
      <c r="H15" s="54">
        <f>'2_C_Financier'!H15+SUMIFS('6-Simulation'!G$8:G$47,'6-Simulation'!$K$8:$K$47,$B15)</f>
        <v>6653</v>
      </c>
      <c r="I15" s="54">
        <f>'2_C_Financier'!I15+SUMIFS('6-Simulation'!H$8:H$47,'6-Simulation'!$K$8:$K$47,$B15)</f>
        <v>7035</v>
      </c>
      <c r="J15" s="128">
        <f>IFERROR((POWER(I15/D15,1/5)-1)*100,"Erreur")</f>
        <v>6.0644852055486087</v>
      </c>
      <c r="L15" s="43"/>
      <c r="O15" s="109"/>
      <c r="W15" s="109"/>
      <c r="X15" s="109"/>
    </row>
    <row r="16" spans="1:24" s="20" customFormat="1" ht="15" outlineLevel="1">
      <c r="B16" s="167" t="s">
        <v>32</v>
      </c>
      <c r="C16" s="55">
        <f t="shared" ref="C16:I16" si="3">SUM(C8:C15)</f>
        <v>125590</v>
      </c>
      <c r="D16" s="55">
        <f t="shared" si="3"/>
        <v>130625</v>
      </c>
      <c r="E16" s="55">
        <f t="shared" si="3"/>
        <v>135343</v>
      </c>
      <c r="F16" s="55">
        <f t="shared" si="3"/>
        <v>140214</v>
      </c>
      <c r="G16" s="55">
        <f t="shared" si="3"/>
        <v>145201</v>
      </c>
      <c r="H16" s="55">
        <f t="shared" si="3"/>
        <v>149639</v>
      </c>
      <c r="I16" s="55">
        <f t="shared" si="3"/>
        <v>155255</v>
      </c>
      <c r="J16" s="129"/>
      <c r="L16" s="43"/>
      <c r="O16" s="109"/>
      <c r="W16" s="109"/>
      <c r="X16" s="109"/>
    </row>
    <row r="17" spans="2:24" s="20" customFormat="1" ht="15" outlineLevel="1">
      <c r="B17" s="168" t="s">
        <v>33</v>
      </c>
      <c r="C17" s="53">
        <f>'2_C_Financier'!C18</f>
        <v>0</v>
      </c>
      <c r="D17" s="53">
        <f>IFERROR((D16-C16)/C16*100,0)</f>
        <v>4.0090771558245084</v>
      </c>
      <c r="E17" s="53">
        <f t="shared" ref="E17:I17" si="4">IFERROR((E16-D16)/D16*100,0)</f>
        <v>3.6118660287081341</v>
      </c>
      <c r="F17" s="53">
        <f t="shared" si="4"/>
        <v>3.5990040120286975</v>
      </c>
      <c r="G17" s="53">
        <f t="shared" si="4"/>
        <v>3.5567061776998017</v>
      </c>
      <c r="H17" s="53">
        <f t="shared" si="4"/>
        <v>3.0564527792508316</v>
      </c>
      <c r="I17" s="53">
        <f t="shared" si="4"/>
        <v>3.7530322977298698</v>
      </c>
      <c r="J17" s="53">
        <f>IFERROR((POWER(I16/D16,1/5)-1)*100,"Erreur")</f>
        <v>3.515136327940116</v>
      </c>
      <c r="L17" s="43"/>
      <c r="O17" s="109"/>
      <c r="W17" s="109"/>
      <c r="X17" s="109"/>
    </row>
    <row r="18" spans="2:24" s="20" customFormat="1" ht="15.75" outlineLevel="1">
      <c r="B18" s="169" t="s">
        <v>34</v>
      </c>
      <c r="C18" s="56">
        <f>'2_C_Financier'!C20</f>
        <v>30498</v>
      </c>
      <c r="D18" s="56">
        <f>'2_C_Financier'!D20</f>
        <v>29803</v>
      </c>
      <c r="E18" s="56">
        <f>'2_C_Financier'!E20+SUMIFS('6-Simulation'!D$8:D$47,'6-Simulation'!$K$8:$K$47,$B18)</f>
        <v>33046</v>
      </c>
      <c r="F18" s="56">
        <f>'2_C_Financier'!F20+SUMIFS('6-Simulation'!E$8:E$47,'6-Simulation'!$K$8:$K$47,$B18)</f>
        <v>34011</v>
      </c>
      <c r="G18" s="56">
        <f>'2_C_Financier'!G20+SUMIFS('6-Simulation'!F$8:F$47,'6-Simulation'!$K$8:$K$47,$B18)</f>
        <v>33643</v>
      </c>
      <c r="H18" s="56">
        <f>'2_C_Financier'!H20+SUMIFS('6-Simulation'!G$8:G$47,'6-Simulation'!$K$8:$K$47,$B18)</f>
        <v>32802</v>
      </c>
      <c r="I18" s="56">
        <f>'2_C_Financier'!I20+SUMIFS('6-Simulation'!H$8:H$47,'6-Simulation'!$K$8:$K$47,$B18)</f>
        <v>33757</v>
      </c>
      <c r="J18" s="130"/>
      <c r="L18" s="43"/>
      <c r="O18" s="109"/>
      <c r="W18" s="109"/>
      <c r="X18" s="109"/>
    </row>
    <row r="19" spans="2:24" s="20" customFormat="1" ht="15" outlineLevel="1">
      <c r="B19" s="57" t="s">
        <v>33</v>
      </c>
      <c r="C19" s="58">
        <f>'2_C_Financier'!C21</f>
        <v>0</v>
      </c>
      <c r="D19" s="58">
        <f>IFERROR((D18-C18)/C18*100,0)</f>
        <v>-2.2788379565873171</v>
      </c>
      <c r="E19" s="58">
        <f t="shared" ref="E19:I19" si="5">IFERROR((E18-D18)/D18*100,0)</f>
        <v>10.881454887091904</v>
      </c>
      <c r="F19" s="58">
        <f t="shared" si="5"/>
        <v>2.9201718816195608</v>
      </c>
      <c r="G19" s="58">
        <f t="shared" si="5"/>
        <v>-1.0820028814207168</v>
      </c>
      <c r="H19" s="58">
        <f t="shared" si="5"/>
        <v>-2.499777071010314</v>
      </c>
      <c r="I19" s="58">
        <f t="shared" si="5"/>
        <v>2.9114078409853059</v>
      </c>
      <c r="J19" s="58">
        <f>IFERROR((POWER(I18/D18,1/5)-1)*100,"Erreur")</f>
        <v>2.5228740059121124</v>
      </c>
      <c r="L19" s="43"/>
      <c r="O19" s="109"/>
      <c r="W19" s="109"/>
      <c r="X19" s="109"/>
    </row>
    <row r="20" spans="2:24" s="20" customFormat="1" ht="7.5" customHeight="1">
      <c r="J20" s="131"/>
      <c r="L20" s="43"/>
      <c r="O20" s="109"/>
      <c r="W20" s="109"/>
      <c r="X20" s="109"/>
    </row>
    <row r="21" spans="2:24" s="20" customFormat="1" ht="15.75">
      <c r="B21" s="26" t="s">
        <v>71</v>
      </c>
      <c r="C21" s="59">
        <f>C45+C47</f>
        <v>-161263</v>
      </c>
      <c r="D21" s="59">
        <f>D45+D47</f>
        <v>-165930</v>
      </c>
      <c r="E21" s="59">
        <f t="shared" ref="E21:I21" si="6">E45+E47</f>
        <v>-171597</v>
      </c>
      <c r="F21" s="59">
        <f t="shared" si="6"/>
        <v>-175919</v>
      </c>
      <c r="G21" s="59">
        <f t="shared" si="6"/>
        <v>-178068</v>
      </c>
      <c r="H21" s="59">
        <f>H45+H47</f>
        <v>-180151</v>
      </c>
      <c r="I21" s="59">
        <f t="shared" si="6"/>
        <v>-186333</v>
      </c>
      <c r="J21" s="131"/>
      <c r="L21" s="43"/>
      <c r="O21" s="109"/>
      <c r="W21" s="109"/>
      <c r="X21" s="109"/>
    </row>
    <row r="22" spans="2:24" s="20" customFormat="1" ht="15">
      <c r="B22" s="30" t="s">
        <v>33</v>
      </c>
      <c r="C22" s="30"/>
      <c r="D22" s="27">
        <f>IFERROR((D21-C21)/C21*100,0)</f>
        <v>2.8940302487241341</v>
      </c>
      <c r="E22" s="27">
        <f t="shared" ref="E22:I22" si="7">IFERROR((E21-D21)/D21*100,0)</f>
        <v>3.4152956065810884</v>
      </c>
      <c r="F22" s="27">
        <f t="shared" si="7"/>
        <v>2.518692051725846</v>
      </c>
      <c r="G22" s="27">
        <f t="shared" si="7"/>
        <v>1.2215849339752953</v>
      </c>
      <c r="H22" s="27">
        <f t="shared" si="7"/>
        <v>1.1697778376799874</v>
      </c>
      <c r="I22" s="27">
        <f t="shared" si="7"/>
        <v>3.4315657420719283</v>
      </c>
      <c r="J22" s="27">
        <f>IFERROR((POWER(I21/D21,1/5)-1)*100,"Erreur")</f>
        <v>2.3464946197307768</v>
      </c>
      <c r="L22" s="43"/>
      <c r="O22" s="109"/>
      <c r="W22" s="109"/>
      <c r="X22" s="109"/>
    </row>
    <row r="23" spans="2:24" s="20" customFormat="1" ht="15.75" outlineLevel="1">
      <c r="B23" s="60" t="s">
        <v>36</v>
      </c>
      <c r="C23" s="61">
        <f>'2_C_Financier'!C26</f>
        <v>-64227</v>
      </c>
      <c r="D23" s="61">
        <f>'2_C_Financier'!D26</f>
        <v>-65945</v>
      </c>
      <c r="E23" s="61">
        <f>'2_C_Financier'!E26+SUMIFS('6-Simulation'!D$52:D$91,'6-Simulation'!$K$52:$K$91,$B23)+SUMIFS('6-Simulation'!D$218:D$296,'6-Simulation'!$K$218:$K$296,$B23)+SUMIFS('6-Simulation'!D$539:D$548,'6-Simulation'!$K$539:$K$548,$B23)</f>
        <v>-69991</v>
      </c>
      <c r="F23" s="61">
        <f>'2_C_Financier'!F26+SUMIFS('6-Simulation'!E$52:E$91,'6-Simulation'!$K$52:$K$91,$B23)+SUMIFS('6-Simulation'!E$218:E$296,'6-Simulation'!$K$218:$K$296,$B23)+SUMIFS('6-Simulation'!E$539:E$548,'6-Simulation'!$K$539:$K$548,$B23)</f>
        <v>-72744</v>
      </c>
      <c r="G23" s="61">
        <f>'2_C_Financier'!G26+SUMIFS('6-Simulation'!F$52:F$91,'6-Simulation'!$K$52:$K$91,$B23)+SUMIFS('6-Simulation'!F$218:F$296,'6-Simulation'!$K$218:$K$296,$B23)+SUMIFS('6-Simulation'!F$539:F$548,'6-Simulation'!$K$539:$K$548,$B23)</f>
        <v>-75389</v>
      </c>
      <c r="H23" s="61" t="s">
        <v>384</v>
      </c>
      <c r="I23" s="61" t="s">
        <v>384</v>
      </c>
      <c r="J23" s="61"/>
      <c r="L23" s="43"/>
      <c r="O23" s="109"/>
      <c r="W23" s="109"/>
      <c r="X23" s="109"/>
    </row>
    <row r="24" spans="2:24" s="20" customFormat="1" ht="15" outlineLevel="1">
      <c r="B24" s="62" t="s">
        <v>33</v>
      </c>
      <c r="C24" s="62"/>
      <c r="D24" s="136">
        <f>IFERROR((D23-C23)/C23*100,0)</f>
        <v>2.6748875083687547</v>
      </c>
      <c r="E24" s="136">
        <f t="shared" ref="E24:G24" si="8">IFERROR((E23-D23)/D23*100,0)</f>
        <v>6.1354158768670866</v>
      </c>
      <c r="F24" s="136">
        <f t="shared" si="8"/>
        <v>3.9333628609392637</v>
      </c>
      <c r="G24" s="136">
        <f t="shared" si="8"/>
        <v>3.6360387110964481</v>
      </c>
      <c r="H24" s="136"/>
      <c r="I24" s="136"/>
      <c r="J24" s="136"/>
      <c r="L24" s="43"/>
      <c r="O24" s="109"/>
      <c r="W24" s="109"/>
      <c r="X24" s="109"/>
    </row>
    <row r="25" spans="2:24" s="20" customFormat="1" ht="15.75" outlineLevel="1">
      <c r="B25" s="64" t="s">
        <v>59</v>
      </c>
      <c r="C25" s="65">
        <f>'2_C_Financier'!C28</f>
        <v>-23352</v>
      </c>
      <c r="D25" s="65">
        <f>'2_C_Financier'!D28</f>
        <v>-23541</v>
      </c>
      <c r="E25" s="65">
        <f>'2_C_Financier'!E28+SUMIFS('6-Simulation'!D$52:D$91,'6-Simulation'!$K$52:$K$91,$B25)+SUMIFS('6-Simulation'!D$218:D$296,'6-Simulation'!$K$218:$K$296,$B25)+SUMIFS('6-Simulation'!D$539:D$548,'6-Simulation'!$K$539:$K$548,$B25)</f>
        <v>-24411</v>
      </c>
      <c r="F25" s="65">
        <f>'2_C_Financier'!F28+SUMIFS('6-Simulation'!E$52:E$91,'6-Simulation'!$K$52:$K$91,$B25)+SUMIFS('6-Simulation'!E$218:E$296,'6-Simulation'!$K$218:$K$296,$B25)+SUMIFS('6-Simulation'!E$539:E$548,'6-Simulation'!$K$539:$K$548,$B25)</f>
        <v>-25068</v>
      </c>
      <c r="G25" s="65">
        <f>'2_C_Financier'!G28+SUMIFS('6-Simulation'!F$52:F$91,'6-Simulation'!$K$52:$K$91,$B25)+SUMIFS('6-Simulation'!F$218:F$296,'6-Simulation'!$K$218:$K$296,$B25)+SUMIFS('6-Simulation'!F$539:F$548,'6-Simulation'!$K$539:$K$548,$B25)</f>
        <v>-25561</v>
      </c>
      <c r="H25" s="65" t="s">
        <v>384</v>
      </c>
      <c r="I25" s="65" t="s">
        <v>384</v>
      </c>
      <c r="J25" s="65"/>
      <c r="L25" s="43"/>
      <c r="O25" s="109"/>
      <c r="W25" s="109"/>
      <c r="X25" s="109"/>
    </row>
    <row r="26" spans="2:24" s="20" customFormat="1" ht="15" outlineLevel="1">
      <c r="B26" s="62" t="s">
        <v>33</v>
      </c>
      <c r="C26" s="62"/>
      <c r="D26" s="136">
        <f>IFERROR((D25-C25)/C25*100,0)</f>
        <v>0.80935251798561147</v>
      </c>
      <c r="E26" s="136">
        <f t="shared" ref="E26" si="9">IFERROR((E25-D25)/D25*100,0)</f>
        <v>3.6956798776602526</v>
      </c>
      <c r="F26" s="136">
        <f t="shared" ref="F26" si="10">IFERROR((F25-E25)/E25*100,0)</f>
        <v>2.6914096104215313</v>
      </c>
      <c r="G26" s="136">
        <f t="shared" ref="G26" si="11">IFERROR((G25-F25)/F25*100,0)</f>
        <v>1.9666507100686133</v>
      </c>
      <c r="H26" s="136"/>
      <c r="I26" s="136"/>
      <c r="J26" s="136"/>
      <c r="K26" s="29"/>
      <c r="L26" s="43"/>
      <c r="O26" s="109"/>
      <c r="W26" s="109"/>
      <c r="X26" s="109"/>
    </row>
    <row r="27" spans="2:24" s="20" customFormat="1" ht="15.75" outlineLevel="1">
      <c r="B27" s="64" t="s">
        <v>61</v>
      </c>
      <c r="C27" s="65">
        <f>'2_C_Financier'!C30</f>
        <v>-11383</v>
      </c>
      <c r="D27" s="65">
        <f>'2_C_Financier'!D30</f>
        <v>-11183</v>
      </c>
      <c r="E27" s="65">
        <f>'2_C_Financier'!E30+SUMIFS('6-Simulation'!D$52:D$91,'6-Simulation'!$K$52:$K$91,$B27)+SUMIFS('6-Simulation'!D$218:D$296,'6-Simulation'!$K$218:$K$296,$B27)+SUMIFS('6-Simulation'!D$539:D$548,'6-Simulation'!$K$539:$K$548,$B27)</f>
        <v>-11847</v>
      </c>
      <c r="F27" s="65">
        <f>'2_C_Financier'!F30+SUMIFS('6-Simulation'!E$52:E$91,'6-Simulation'!$K$52:$K$91,$B27)+SUMIFS('6-Simulation'!E$218:E$296,'6-Simulation'!$K$218:$K$296,$B27)+SUMIFS('6-Simulation'!E$539:E$548,'6-Simulation'!$K$539:$K$548,$B27)</f>
        <v>-12339</v>
      </c>
      <c r="G27" s="65">
        <f>'2_C_Financier'!G30+SUMIFS('6-Simulation'!F$52:F$91,'6-Simulation'!$K$52:$K$91,$B27)+SUMIFS('6-Simulation'!F$218:F$296,'6-Simulation'!$K$218:$K$296,$B27)+SUMIFS('6-Simulation'!F$539:F$548,'6-Simulation'!$K$539:$K$548,$B27)</f>
        <v>-12588</v>
      </c>
      <c r="H27" s="65" t="s">
        <v>384</v>
      </c>
      <c r="I27" s="65" t="s">
        <v>384</v>
      </c>
      <c r="J27" s="65"/>
      <c r="L27" s="43"/>
      <c r="O27" s="109"/>
      <c r="W27" s="109"/>
      <c r="X27" s="109"/>
    </row>
    <row r="28" spans="2:24" s="20" customFormat="1" ht="15" outlineLevel="1">
      <c r="B28" s="62" t="s">
        <v>33</v>
      </c>
      <c r="C28" s="62"/>
      <c r="D28" s="136">
        <f>IFERROR((D27-C27)/C27*100,0)</f>
        <v>-1.7570060616709127</v>
      </c>
      <c r="E28" s="136">
        <f t="shared" ref="E28" si="12">IFERROR((E27-D27)/D27*100,0)</f>
        <v>5.9375838326030586</v>
      </c>
      <c r="F28" s="136">
        <f t="shared" ref="F28" si="13">IFERROR((F27-E27)/E27*100,0)</f>
        <v>4.1529501139528993</v>
      </c>
      <c r="G28" s="136">
        <f t="shared" ref="G28" si="14">IFERROR((G27-F27)/F27*100,0)</f>
        <v>2.0179917335278388</v>
      </c>
      <c r="H28" s="136"/>
      <c r="I28" s="136"/>
      <c r="J28" s="136"/>
      <c r="K28" s="29"/>
      <c r="L28" s="43"/>
      <c r="O28" s="109"/>
      <c r="W28" s="109"/>
      <c r="X28" s="109"/>
    </row>
    <row r="29" spans="2:24" s="20" customFormat="1" ht="15" customHeight="1" outlineLevel="1">
      <c r="B29" s="64" t="s">
        <v>62</v>
      </c>
      <c r="C29" s="65">
        <f>'2_C_Financier'!C32</f>
        <v>-9015</v>
      </c>
      <c r="D29" s="65">
        <f>'2_C_Financier'!D32</f>
        <v>-9633</v>
      </c>
      <c r="E29" s="65">
        <f>'2_C_Financier'!E32+SUMIFS('6-Simulation'!D$52:D$91,'6-Simulation'!$K$52:$K$91,$B29)+SUMIFS('6-Simulation'!D$218:D$296,'6-Simulation'!$K$218:$K$296,$B29)+SUMIFS('6-Simulation'!D$539:D$548,'6-Simulation'!$K$539:$K$548,$B29)</f>
        <v>-10067</v>
      </c>
      <c r="F29" s="65">
        <f>'2_C_Financier'!F32+SUMIFS('6-Simulation'!E$52:E$91,'6-Simulation'!$K$52:$K$91,$B29)+SUMIFS('6-Simulation'!E$218:E$296,'6-Simulation'!$K$218:$K$296,$B29)+SUMIFS('6-Simulation'!E$539:E$548,'6-Simulation'!$K$539:$K$548,$B29)</f>
        <v>-10282</v>
      </c>
      <c r="G29" s="65">
        <f>'2_C_Financier'!G32+SUMIFS('6-Simulation'!F$52:F$91,'6-Simulation'!$K$52:$K$91,$B29)+SUMIFS('6-Simulation'!F$218:F$296,'6-Simulation'!$K$218:$K$296,$B29)+SUMIFS('6-Simulation'!F$539:F$548,'6-Simulation'!$K$539:$K$548,$B29)</f>
        <v>-10238</v>
      </c>
      <c r="H29" s="65" t="s">
        <v>384</v>
      </c>
      <c r="I29" s="65" t="s">
        <v>384</v>
      </c>
      <c r="J29" s="65"/>
      <c r="L29" s="43"/>
      <c r="O29" s="109"/>
      <c r="W29" s="109"/>
      <c r="X29" s="109"/>
    </row>
    <row r="30" spans="2:24" s="20" customFormat="1" ht="15" outlineLevel="1">
      <c r="B30" s="62" t="s">
        <v>33</v>
      </c>
      <c r="C30" s="62"/>
      <c r="D30" s="136">
        <f>IFERROR((D29-C29)/C29*100,0)</f>
        <v>6.8552412645590683</v>
      </c>
      <c r="E30" s="136">
        <f t="shared" ref="E30" si="15">IFERROR((E29-D29)/D29*100,0)</f>
        <v>4.5053462057510636</v>
      </c>
      <c r="F30" s="136">
        <f t="shared" ref="F30" si="16">IFERROR((F29-E29)/E29*100,0)</f>
        <v>2.1356908711632068</v>
      </c>
      <c r="G30" s="136">
        <f t="shared" ref="G30" si="17">IFERROR((G29-F29)/F29*100,0)</f>
        <v>-0.4279323088893211</v>
      </c>
      <c r="H30" s="136"/>
      <c r="I30" s="136"/>
      <c r="J30" s="136"/>
      <c r="L30" s="43"/>
      <c r="O30" s="109"/>
      <c r="W30" s="109"/>
      <c r="X30" s="109"/>
    </row>
    <row r="31" spans="2:24" s="20" customFormat="1" ht="15.75" outlineLevel="1">
      <c r="B31" s="64" t="s">
        <v>222</v>
      </c>
      <c r="C31" s="65">
        <f>'2_C_Financier'!C34</f>
        <v>-7684</v>
      </c>
      <c r="D31" s="65">
        <f>'2_C_Financier'!D34</f>
        <v>-9176</v>
      </c>
      <c r="E31" s="65">
        <f>'2_C_Financier'!E34+SUMIFS('6-Simulation'!D$52:D$91,'6-Simulation'!$K$52:$K$91,$B31)+SUMIFS('6-Simulation'!D$218:D$296,'6-Simulation'!$K$218:$K$296,$B31)+SUMIFS('6-Simulation'!D$539:D$548,'6-Simulation'!$K$539:$K$548,$B31)</f>
        <v>-7869</v>
      </c>
      <c r="F31" s="65">
        <f>'2_C_Financier'!F34+SUMIFS('6-Simulation'!E$52:E$91,'6-Simulation'!$K$52:$K$91,$B31)+SUMIFS('6-Simulation'!E$218:E$296,'6-Simulation'!$K$218:$K$296,$B31)+SUMIFS('6-Simulation'!E$539:E$548,'6-Simulation'!$K$539:$K$548,$B31)</f>
        <v>-8843</v>
      </c>
      <c r="G31" s="65">
        <f>'2_C_Financier'!G34+SUMIFS('6-Simulation'!F$52:F$91,'6-Simulation'!$K$52:$K$91,$B31)+SUMIFS('6-Simulation'!F$218:F$296,'6-Simulation'!$K$218:$K$296,$B31)+SUMIFS('6-Simulation'!F$539:F$548,'6-Simulation'!$K$539:$K$548,$B31)</f>
        <v>-8516</v>
      </c>
      <c r="H31" s="65" t="s">
        <v>384</v>
      </c>
      <c r="I31" s="65" t="s">
        <v>384</v>
      </c>
      <c r="J31" s="65"/>
      <c r="L31" s="43"/>
      <c r="O31" s="109"/>
      <c r="W31" s="109"/>
      <c r="X31" s="109"/>
    </row>
    <row r="32" spans="2:24" s="20" customFormat="1" ht="15" outlineLevel="1">
      <c r="B32" s="62" t="s">
        <v>33</v>
      </c>
      <c r="C32" s="62"/>
      <c r="D32" s="136">
        <f>IFERROR((D31-C31)/C31*100,0)</f>
        <v>19.416970327954193</v>
      </c>
      <c r="E32" s="136">
        <f t="shared" ref="E32" si="18">IFERROR((E31-D31)/D31*100,0)</f>
        <v>-14.243679163034001</v>
      </c>
      <c r="F32" s="136">
        <f>IFERROR((F31-E31)/E31*100,0)</f>
        <v>12.377684585080697</v>
      </c>
      <c r="G32" s="136">
        <f t="shared" ref="G32" si="19">IFERROR((G31-F31)/F31*100,0)</f>
        <v>-3.6978400995137397</v>
      </c>
      <c r="H32" s="136"/>
      <c r="I32" s="136"/>
      <c r="J32" s="136"/>
      <c r="L32" s="43"/>
      <c r="O32" s="109"/>
      <c r="W32" s="109"/>
      <c r="X32" s="109"/>
    </row>
    <row r="33" spans="2:24" s="20" customFormat="1" ht="15.75" outlineLevel="1">
      <c r="B33" s="64" t="s">
        <v>223</v>
      </c>
      <c r="C33" s="65">
        <f>'2_C_Financier'!C36</f>
        <v>-5707</v>
      </c>
      <c r="D33" s="65">
        <f>'2_C_Financier'!D36</f>
        <v>-5811</v>
      </c>
      <c r="E33" s="65">
        <f>'2_C_Financier'!E36+SUMIFS('6-Simulation'!D$52:D$91,'6-Simulation'!$K$52:$K$91,$B33)+SUMIFS('6-Simulation'!D$218:D$296,'6-Simulation'!$K$218:$K$296,$B33)+SUMIFS('6-Simulation'!D$539:D$548,'6-Simulation'!$K$539:$K$548,$B33)</f>
        <v>-6358</v>
      </c>
      <c r="F33" s="65">
        <f>'2_C_Financier'!F36+SUMIFS('6-Simulation'!E$52:E$91,'6-Simulation'!$K$52:$K$91,$B33)+SUMIFS('6-Simulation'!E$218:E$296,'6-Simulation'!$K$218:$K$296,$B33)+SUMIFS('6-Simulation'!E$539:E$548,'6-Simulation'!$K$539:$K$548,$B33)</f>
        <v>-5939</v>
      </c>
      <c r="G33" s="65">
        <f>'2_C_Financier'!G36+SUMIFS('6-Simulation'!F$52:F$91,'6-Simulation'!$K$52:$K$91,$B33)+SUMIFS('6-Simulation'!F$218:F$296,'6-Simulation'!$K$218:$K$296,$B33)+SUMIFS('6-Simulation'!F$539:F$548,'6-Simulation'!$K$539:$K$548,$B33)</f>
        <v>-5808</v>
      </c>
      <c r="H33" s="65" t="s">
        <v>384</v>
      </c>
      <c r="I33" s="65" t="s">
        <v>384</v>
      </c>
      <c r="J33" s="65"/>
      <c r="L33" s="43"/>
      <c r="O33" s="109"/>
      <c r="W33" s="109"/>
      <c r="X33" s="109"/>
    </row>
    <row r="34" spans="2:24" s="20" customFormat="1" ht="15" outlineLevel="1">
      <c r="B34" s="62" t="s">
        <v>33</v>
      </c>
      <c r="C34" s="62"/>
      <c r="D34" s="136">
        <f>IFERROR((D33-C33)/C33*100,0)</f>
        <v>1.8223234624145785</v>
      </c>
      <c r="E34" s="136">
        <f t="shared" ref="E34" si="20">IFERROR((E33-D33)/D33*100,0)</f>
        <v>9.4131818964033727</v>
      </c>
      <c r="F34" s="136">
        <f t="shared" ref="F34" si="21">IFERROR((F33-E33)/E33*100,0)</f>
        <v>-6.5901226800880783</v>
      </c>
      <c r="G34" s="136">
        <f t="shared" ref="G34" si="22">IFERROR((G33-F33)/F33*100,0)</f>
        <v>-2.2057585452096311</v>
      </c>
      <c r="H34" s="136"/>
      <c r="I34" s="136"/>
      <c r="J34" s="136"/>
      <c r="L34" s="43"/>
      <c r="O34" s="109"/>
      <c r="W34" s="109"/>
      <c r="X34" s="109"/>
    </row>
    <row r="35" spans="2:24" s="20" customFormat="1" ht="15.75" outlineLevel="1">
      <c r="B35" s="64" t="s">
        <v>63</v>
      </c>
      <c r="C35" s="65">
        <f>'2_C_Financier'!C38</f>
        <v>-5005</v>
      </c>
      <c r="D35" s="65">
        <f>'2_C_Financier'!D38</f>
        <v>-5253</v>
      </c>
      <c r="E35" s="65">
        <f>'2_C_Financier'!E38+SUMIFS('6-Simulation'!D$52:D$91,'6-Simulation'!$K$52:$K$91,$B35)+SUMIFS('6-Simulation'!D$218:D$296,'6-Simulation'!$K$218:$K$296,$B35)+SUMIFS('6-Simulation'!D$539:D$548,'6-Simulation'!$K$539:$K$548,$B35)</f>
        <v>-5863</v>
      </c>
      <c r="F35" s="65">
        <f>'2_C_Financier'!F38+SUMIFS('6-Simulation'!E$52:E$91,'6-Simulation'!$K$52:$K$91,$B35)+SUMIFS('6-Simulation'!E$218:E$296,'6-Simulation'!$K$218:$K$296,$B35)+SUMIFS('6-Simulation'!E$539:E$548,'6-Simulation'!$K$539:$K$548,$B35)</f>
        <v>-5442</v>
      </c>
      <c r="G35" s="65">
        <f>'2_C_Financier'!G38+SUMIFS('6-Simulation'!F$52:F$91,'6-Simulation'!$K$52:$K$91,$B35)+SUMIFS('6-Simulation'!F$218:F$296,'6-Simulation'!$K$218:$K$296,$B35)+SUMIFS('6-Simulation'!F$539:F$548,'6-Simulation'!$K$539:$K$548,$B35)</f>
        <v>-4794</v>
      </c>
      <c r="H35" s="65" t="s">
        <v>384</v>
      </c>
      <c r="I35" s="65" t="s">
        <v>384</v>
      </c>
      <c r="J35" s="65"/>
      <c r="L35" s="43"/>
      <c r="O35" s="109"/>
      <c r="W35" s="109"/>
      <c r="X35" s="109"/>
    </row>
    <row r="36" spans="2:24" s="20" customFormat="1" ht="15" outlineLevel="1">
      <c r="B36" s="62" t="s">
        <v>33</v>
      </c>
      <c r="C36" s="62"/>
      <c r="D36" s="136">
        <f>IFERROR((D35-C35)/C35*100,0)</f>
        <v>4.9550449550449551</v>
      </c>
      <c r="E36" s="136">
        <f t="shared" ref="E36" si="23">IFERROR((E35-D35)/D35*100,0)</f>
        <v>11.612411955073291</v>
      </c>
      <c r="F36" s="136">
        <f t="shared" ref="F36" si="24">IFERROR((F35-E35)/E35*100,0)</f>
        <v>-7.1806242537949858</v>
      </c>
      <c r="G36" s="136">
        <f t="shared" ref="G36" si="25">IFERROR((G35-F35)/F35*100,0)</f>
        <v>-11.907386990077178</v>
      </c>
      <c r="H36" s="136"/>
      <c r="I36" s="136"/>
      <c r="J36" s="136"/>
      <c r="L36" s="43"/>
      <c r="O36" s="109"/>
      <c r="W36" s="109"/>
      <c r="X36" s="109"/>
    </row>
    <row r="37" spans="2:24" s="20" customFormat="1" ht="15.75" outlineLevel="1">
      <c r="B37" s="64" t="s">
        <v>224</v>
      </c>
      <c r="C37" s="65">
        <f>'2_C_Financier'!C40</f>
        <v>-4768</v>
      </c>
      <c r="D37" s="65">
        <f>'2_C_Financier'!D40</f>
        <v>-4365</v>
      </c>
      <c r="E37" s="65">
        <f>'2_C_Financier'!E40+SUMIFS('6-Simulation'!D$52:D$91,'6-Simulation'!$K$52:$K$91,$B37)+SUMIFS('6-Simulation'!D$218:D$296,'6-Simulation'!$K$218:$K$296,$B37)+SUMIFS('6-Simulation'!D$539:D$548,'6-Simulation'!$K$539:$K$548,$B37)</f>
        <v>-4506</v>
      </c>
      <c r="F37" s="65">
        <f>'2_C_Financier'!F40+SUMIFS('6-Simulation'!E$52:E$91,'6-Simulation'!$K$52:$K$91,$B37)+SUMIFS('6-Simulation'!E$218:E$296,'6-Simulation'!$K$218:$K$296,$B37)+SUMIFS('6-Simulation'!E$539:E$548,'6-Simulation'!$K$539:$K$548,$B37)</f>
        <v>-4165</v>
      </c>
      <c r="G37" s="65">
        <f>'2_C_Financier'!G40+SUMIFS('6-Simulation'!F$52:F$91,'6-Simulation'!$K$52:$K$91,$B37)+SUMIFS('6-Simulation'!F$218:F$296,'6-Simulation'!$K$218:$K$296,$B37)+SUMIFS('6-Simulation'!F$539:F$548,'6-Simulation'!$K$539:$K$548,$B37)</f>
        <v>-3566</v>
      </c>
      <c r="H37" s="65" t="s">
        <v>384</v>
      </c>
      <c r="I37" s="65" t="s">
        <v>384</v>
      </c>
      <c r="J37" s="65"/>
      <c r="L37" s="43"/>
      <c r="O37" s="109"/>
      <c r="W37" s="109"/>
      <c r="X37" s="109"/>
    </row>
    <row r="38" spans="2:24" s="20" customFormat="1" ht="15" outlineLevel="1">
      <c r="B38" s="62" t="s">
        <v>33</v>
      </c>
      <c r="C38" s="62"/>
      <c r="D38" s="136">
        <f>IFERROR((D37-C37)/C37*100,0)</f>
        <v>-8.4521812080536911</v>
      </c>
      <c r="E38" s="136">
        <f t="shared" ref="E38" si="26">IFERROR((E37-D37)/D37*100,0)</f>
        <v>3.2302405498281792</v>
      </c>
      <c r="F38" s="136">
        <f t="shared" ref="F38" si="27">IFERROR((F37-E37)/E37*100,0)</f>
        <v>-7.5676875277407909</v>
      </c>
      <c r="G38" s="136">
        <f t="shared" ref="G38" si="28">IFERROR((G37-F37)/F37*100,0)</f>
        <v>-14.381752701080433</v>
      </c>
      <c r="H38" s="136"/>
      <c r="I38" s="136"/>
      <c r="J38" s="136"/>
      <c r="L38" s="43"/>
      <c r="O38" s="109"/>
      <c r="W38" s="109"/>
      <c r="X38" s="109"/>
    </row>
    <row r="39" spans="2:24" s="20" customFormat="1" ht="28.5" outlineLevel="1">
      <c r="B39" s="64" t="s">
        <v>196</v>
      </c>
      <c r="C39" s="65">
        <f>'2_C_Financier'!C42</f>
        <v>-2181</v>
      </c>
      <c r="D39" s="65">
        <f>'2_C_Financier'!D42</f>
        <v>-1802</v>
      </c>
      <c r="E39" s="65">
        <f>'2_C_Financier'!E42+SUMIFS('6-Simulation'!D$52:D$91,'6-Simulation'!$K$52:$K$91,$B39)+SUMIFS('6-Simulation'!D$218:D$296,'6-Simulation'!$K$218:$K$296,$B39)+SUMIFS('6-Simulation'!D$539:D$548,'6-Simulation'!$K$539:$K$548,$B39)</f>
        <v>-1979</v>
      </c>
      <c r="F39" s="65">
        <f>'2_C_Financier'!F42+SUMIFS('6-Simulation'!E$52:E$91,'6-Simulation'!$K$52:$K$91,$B39)+SUMIFS('6-Simulation'!E$218:E$296,'6-Simulation'!$K$218:$K$296,$B39)+SUMIFS('6-Simulation'!E$539:E$548,'6-Simulation'!$K$539:$K$548,$B39)</f>
        <v>-2168</v>
      </c>
      <c r="G39" s="65">
        <f>'2_C_Financier'!G42+SUMIFS('6-Simulation'!F$52:F$91,'6-Simulation'!$K$52:$K$91,$B39)+SUMIFS('6-Simulation'!F$218:F$296,'6-Simulation'!$K$218:$K$296,$B39)+SUMIFS('6-Simulation'!F$539:F$548,'6-Simulation'!$K$539:$K$548,$B39)</f>
        <v>-2131</v>
      </c>
      <c r="H39" s="65" t="s">
        <v>384</v>
      </c>
      <c r="I39" s="65" t="s">
        <v>384</v>
      </c>
      <c r="J39" s="65"/>
      <c r="L39" s="43"/>
      <c r="O39" s="109"/>
      <c r="W39" s="109"/>
      <c r="X39" s="109"/>
    </row>
    <row r="40" spans="2:24" s="20" customFormat="1" ht="15" outlineLevel="1">
      <c r="B40" s="62" t="s">
        <v>33</v>
      </c>
      <c r="C40" s="62"/>
      <c r="D40" s="136">
        <f>IFERROR((D39-C39)/C39*100,0)</f>
        <v>-17.377349839523156</v>
      </c>
      <c r="E40" s="136">
        <f t="shared" ref="E40" si="29">IFERROR((E39-D39)/D39*100,0)</f>
        <v>9.8224195338512761</v>
      </c>
      <c r="F40" s="136">
        <f t="shared" ref="F40" si="30">IFERROR((F39-E39)/E39*100,0)</f>
        <v>9.5502779181404751</v>
      </c>
      <c r="G40" s="136">
        <f t="shared" ref="G40" si="31">IFERROR((G39-F39)/F39*100,0)</f>
        <v>-1.7066420664206643</v>
      </c>
      <c r="H40" s="136"/>
      <c r="I40" s="136"/>
      <c r="J40" s="136"/>
      <c r="L40" s="43"/>
      <c r="O40" s="109"/>
      <c r="W40" s="109"/>
      <c r="X40" s="109"/>
    </row>
    <row r="41" spans="2:24" s="20" customFormat="1" ht="15.75" outlineLevel="1">
      <c r="B41" s="108" t="s">
        <v>64</v>
      </c>
      <c r="C41" s="65">
        <f>'2_C_Financier'!C44</f>
        <v>-17972</v>
      </c>
      <c r="D41" s="65">
        <f>'2_C_Financier'!D44</f>
        <v>-19073</v>
      </c>
      <c r="E41" s="65">
        <f>'2_C_Financier'!E44+SUMIFS('6-Simulation'!D$52:D$91,'6-Simulation'!$K$52:$K$91,"Autres portefeuilles")+SUMIFS('6-Simulation'!D$218:D$296,'6-Simulation'!$K$218:$K$296,"Autres portefeuilles")+SUMIFS('6-Simulation'!D$539:D$548,'6-Simulation'!$K$539:$K$548,"Autres portefeuilles")</f>
        <v>-18790</v>
      </c>
      <c r="F41" s="65">
        <f>'2_C_Financier'!F44+SUMIFS('6-Simulation'!E$52:E$91,'6-Simulation'!$K$52:$K$91,"Autres portefeuilles")+SUMIFS('6-Simulation'!E$218:E$296,'6-Simulation'!$K$218:$K$296,"Autres portefeuilles")+SUMIFS('6-Simulation'!E$539:E$548,'6-Simulation'!$K$539:$K$548,"Autres portefeuilles")</f>
        <v>-18659</v>
      </c>
      <c r="G41" s="65">
        <f>'2_C_Financier'!G44+SUMIFS('6-Simulation'!F$52:F$91,'6-Simulation'!$K$52:$K$91,"Autres portefeuilles")+SUMIFS('6-Simulation'!F$218:F$296,'6-Simulation'!$K$218:$K$296,"Autres portefeuilles")+SUMIFS('6-Simulation'!F$539:F$548,'6-Simulation'!$K$539:$K$548,"Autres portefeuilles")</f>
        <v>-18675</v>
      </c>
      <c r="H41" s="65" t="s">
        <v>384</v>
      </c>
      <c r="I41" s="65" t="s">
        <v>384</v>
      </c>
      <c r="J41" s="65"/>
      <c r="L41" s="43"/>
      <c r="O41" s="109"/>
      <c r="W41" s="109"/>
      <c r="X41" s="109"/>
    </row>
    <row r="42" spans="2:24" s="20" customFormat="1" ht="15" outlineLevel="1">
      <c r="B42" s="62" t="s">
        <v>33</v>
      </c>
      <c r="C42" s="62"/>
      <c r="D42" s="136">
        <f>IFERROR((D41-C41)/C41*100,0)</f>
        <v>6.1261963053638988</v>
      </c>
      <c r="E42" s="136">
        <f t="shared" ref="E42" si="32">IFERROR((E41-D41)/D41*100,0)</f>
        <v>-1.4837728726471977</v>
      </c>
      <c r="F42" s="136">
        <f t="shared" ref="F42" si="33">IFERROR((F41-E41)/E41*100,0)</f>
        <v>-0.69717935071846726</v>
      </c>
      <c r="G42" s="136">
        <f t="shared" ref="G42" si="34">IFERROR((G41-F41)/F41*100,0)</f>
        <v>8.5749504260678497E-2</v>
      </c>
      <c r="H42" s="136"/>
      <c r="I42" s="136"/>
      <c r="J42" s="136"/>
      <c r="L42" s="43"/>
      <c r="O42" s="109"/>
      <c r="W42" s="109"/>
      <c r="X42" s="109"/>
    </row>
    <row r="43" spans="2:24" s="20" customFormat="1" ht="15.75" outlineLevel="1">
      <c r="B43" s="250" t="s">
        <v>361</v>
      </c>
      <c r="C43" s="65">
        <f>'2_C_Financier'!C46</f>
        <v>0</v>
      </c>
      <c r="D43" s="65">
        <f>'2_C_Financier'!D46</f>
        <v>0</v>
      </c>
      <c r="E43" s="65">
        <f>'2_C_Financier'!E46+SUMIFS('6-Simulation'!D$52:D$91,'6-Simulation'!$K$52:$K$91,"Réallocation des dépenses en cours d'exercice")+SUMIFS('6-Simulation'!D$218:D$296,'6-Simulation'!$K$218:$K$296,"Réallocation des dépenses en cours d'exercice")+SUMIFS('6-Simulation'!D$539:D$548,'6-Simulation'!$K$539:$K$548,"Réallocation des dépenses en cours d'exercice")</f>
        <v>600</v>
      </c>
      <c r="F43" s="65">
        <f>'2_C_Financier'!F46+SUMIFS('6-Simulation'!E$52:E$91,'6-Simulation'!$K$52:$K$91,"Réallocation des dépenses en cours d'exercice")+SUMIFS('6-Simulation'!E$218:E$296,'6-Simulation'!$K$218:$K$296,"Réallocation des dépenses en cours d'exercice")+SUMIFS('6-Simulation'!E$539:E$548,'6-Simulation'!$K$539:$K$548,"Réallocation des dépenses en cours d'exercice")</f>
        <v>600</v>
      </c>
      <c r="G43" s="65">
        <f>'2_C_Financier'!G46+SUMIFS('6-Simulation'!F$52:F$91,'6-Simulation'!$K$52:$K$91,"Réallocation des dépenses en cours d'exercice")+SUMIFS('6-Simulation'!F$218:F$296,'6-Simulation'!$K$218:$K$296,"Réallocation des dépenses en cours d'exercice")+SUMIFS('6-Simulation'!F$539:F$548,'6-Simulation'!$K$539:$K$548,"Réallocation des dépenses en cours d'exercice")</f>
        <v>600</v>
      </c>
      <c r="H43" s="65" t="s">
        <v>384</v>
      </c>
      <c r="I43" s="65" t="s">
        <v>384</v>
      </c>
      <c r="J43" s="65"/>
      <c r="L43" s="43"/>
      <c r="O43" s="109"/>
      <c r="W43" s="109"/>
      <c r="X43" s="109"/>
    </row>
    <row r="44" spans="2:24" s="20" customFormat="1" ht="15" outlineLevel="1">
      <c r="B44" s="62" t="s">
        <v>33</v>
      </c>
      <c r="C44" s="62"/>
      <c r="D44" s="136">
        <f>IFERROR((D43-C43)/C43*100,0)</f>
        <v>0</v>
      </c>
      <c r="E44" s="136">
        <f t="shared" ref="E44" si="35">IFERROR((E43-D43)/D43*100,0)</f>
        <v>0</v>
      </c>
      <c r="F44" s="136">
        <f t="shared" ref="F44" si="36">IFERROR((F43-E43)/E43*100,0)</f>
        <v>0</v>
      </c>
      <c r="G44" s="136">
        <f t="shared" ref="G44" si="37">IFERROR((G43-F43)/F43*100,0)</f>
        <v>0</v>
      </c>
      <c r="H44" s="136"/>
      <c r="I44" s="136"/>
      <c r="J44" s="136"/>
      <c r="L44" s="43"/>
      <c r="O44" s="109"/>
      <c r="W44" s="109"/>
      <c r="X44" s="109"/>
    </row>
    <row r="45" spans="2:24" s="20" customFormat="1" ht="15" outlineLevel="1">
      <c r="B45" s="66" t="s">
        <v>72</v>
      </c>
      <c r="C45" s="142">
        <f>C23+C25+C27+C29+C31+C33+C35+C37+C39+C41+C43</f>
        <v>-151294</v>
      </c>
      <c r="D45" s="142">
        <f t="shared" ref="D45:G45" si="38">D23+D25+D27+D29+D31+D33+D35+D37+D39+D41+D43</f>
        <v>-155782</v>
      </c>
      <c r="E45" s="142">
        <f t="shared" si="38"/>
        <v>-161081</v>
      </c>
      <c r="F45" s="142">
        <f t="shared" si="38"/>
        <v>-165049</v>
      </c>
      <c r="G45" s="142">
        <f t="shared" si="38"/>
        <v>-166666</v>
      </c>
      <c r="H45" s="142">
        <f>'2_C_Financier'!H48+'6-Simulation'!G300-SUMIFS('6-Simulation'!G$52:G$91,'6-Simulation'!$K$52:$K$91,"Service de la dette")</f>
        <v>-168291</v>
      </c>
      <c r="I45" s="142">
        <f>'2_C_Financier'!I48+'6-Simulation'!H300-SUMIFS('6-Simulation'!H$52:H$91,'6-Simulation'!$K$52:$K$91,"Service de la dette")</f>
        <v>-173584</v>
      </c>
      <c r="J45" s="142"/>
      <c r="L45" s="43"/>
      <c r="O45" s="109"/>
      <c r="W45" s="109"/>
      <c r="X45" s="109"/>
    </row>
    <row r="46" spans="2:24" s="20" customFormat="1" ht="15" outlineLevel="1">
      <c r="B46" s="62" t="s">
        <v>33</v>
      </c>
      <c r="C46" s="136"/>
      <c r="D46" s="136">
        <f>IFERROR((D45-C45)/C45*100,0)</f>
        <v>2.9664097717027773</v>
      </c>
      <c r="E46" s="136">
        <f t="shared" ref="E46" si="39">IFERROR((E45-D45)/D45*100,0)</f>
        <v>3.4015483175206378</v>
      </c>
      <c r="F46" s="136">
        <f t="shared" ref="F46" si="40">IFERROR((F45-E45)/E45*100,0)</f>
        <v>2.4633569446427575</v>
      </c>
      <c r="G46" s="136">
        <f t="shared" ref="G46" si="41">IFERROR((G45-F45)/F45*100,0)</f>
        <v>0.97970905609849201</v>
      </c>
      <c r="H46" s="136">
        <f t="shared" ref="H46" si="42">IFERROR((H45-G45)/G45*100,0)</f>
        <v>0.9750039000156</v>
      </c>
      <c r="I46" s="136">
        <f t="shared" ref="I46" si="43">IFERROR((I45-H45)/H45*100,0)</f>
        <v>3.1451473935029206</v>
      </c>
      <c r="J46" s="136">
        <f>IFERROR((POWER(I45/D45,1/5)-1)*100,"Erreur")</f>
        <v>2.1876668219398487</v>
      </c>
      <c r="L46" s="43"/>
      <c r="O46" s="109"/>
      <c r="W46" s="109"/>
      <c r="X46" s="109"/>
    </row>
    <row r="47" spans="2:24" s="20" customFormat="1" ht="15.75" outlineLevel="1">
      <c r="B47" s="66" t="s">
        <v>35</v>
      </c>
      <c r="C47" s="67">
        <f>'2_C_Financier'!C51</f>
        <v>-9969</v>
      </c>
      <c r="D47" s="67">
        <f>'2_C_Financier'!D51</f>
        <v>-10148</v>
      </c>
      <c r="E47" s="65">
        <f>'2_C_Financier'!E51+'6-Simulation'!D320</f>
        <v>-10516</v>
      </c>
      <c r="F47" s="65">
        <f>'2_C_Financier'!F51+'6-Simulation'!E320</f>
        <v>-10870</v>
      </c>
      <c r="G47" s="65">
        <f>'2_C_Financier'!G51+'6-Simulation'!F320</f>
        <v>-11402</v>
      </c>
      <c r="H47" s="65">
        <f>'2_C_Financier'!H51+'6-Simulation'!G320</f>
        <v>-11860</v>
      </c>
      <c r="I47" s="65">
        <f>'2_C_Financier'!I51+'6-Simulation'!H320</f>
        <v>-12749</v>
      </c>
      <c r="J47" s="132"/>
      <c r="L47" s="43"/>
      <c r="O47" s="109"/>
      <c r="W47" s="109"/>
      <c r="X47" s="109"/>
    </row>
    <row r="48" spans="2:24" s="20" customFormat="1" ht="15" outlineLevel="1">
      <c r="B48" s="68" t="s">
        <v>33</v>
      </c>
      <c r="C48" s="69"/>
      <c r="D48" s="69">
        <f>IFERROR((D47-C47)/C47*100,0)</f>
        <v>1.7955662553917142</v>
      </c>
      <c r="E48" s="69">
        <f t="shared" ref="E48" si="44">IFERROR((E47-D47)/D47*100,0)</f>
        <v>3.6263303113914072</v>
      </c>
      <c r="F48" s="69">
        <f t="shared" ref="F48" si="45">IFERROR((F47-E47)/E47*100,0)</f>
        <v>3.3662989729935338</v>
      </c>
      <c r="G48" s="69">
        <f t="shared" ref="G48" si="46">IFERROR((G47-F47)/F47*100,0)</f>
        <v>4.8942042318307264</v>
      </c>
      <c r="H48" s="69">
        <f t="shared" ref="H48" si="47">IFERROR((H47-G47)/G47*100,0)</f>
        <v>4.0168391510261356</v>
      </c>
      <c r="I48" s="69">
        <f t="shared" ref="I48" si="48">IFERROR((I47-H47)/H47*100,0)</f>
        <v>7.495784148397977</v>
      </c>
      <c r="J48" s="69">
        <f>IFERROR((POWER(I47/D47,1/5)-1)*100,"Erreur")</f>
        <v>4.669254878388851</v>
      </c>
      <c r="L48" s="43"/>
      <c r="O48" s="109"/>
      <c r="W48" s="109"/>
      <c r="X48" s="109"/>
    </row>
    <row r="49" spans="2:24" s="20" customFormat="1" ht="7.5" customHeight="1">
      <c r="L49" s="43"/>
      <c r="O49" s="109"/>
      <c r="W49" s="109"/>
      <c r="X49" s="109"/>
    </row>
    <row r="50" spans="2:24" s="20" customFormat="1" ht="15">
      <c r="B50" s="31" t="s">
        <v>186</v>
      </c>
      <c r="C50" s="70">
        <f>'2_C_Financier'!C56</f>
        <v>0</v>
      </c>
      <c r="D50" s="70">
        <f>'2_C_Financier'!D56</f>
        <v>0</v>
      </c>
      <c r="E50" s="70">
        <f>'2_C_Financier'!E56+'6-Simulation'!D303</f>
        <v>-2000</v>
      </c>
      <c r="F50" s="70">
        <f>'2_C_Financier'!F56+'6-Simulation'!E303</f>
        <v>-1500</v>
      </c>
      <c r="G50" s="70">
        <f>'2_C_Financier'!G56+'6-Simulation'!F303</f>
        <v>-1500</v>
      </c>
      <c r="H50" s="70">
        <f>'2_C_Financier'!H56+'6-Simulation'!G303</f>
        <v>-1500</v>
      </c>
      <c r="I50" s="70">
        <f>'2_C_Financier'!I56+'6-Simulation'!H303</f>
        <v>-1500</v>
      </c>
      <c r="J50" s="70"/>
      <c r="L50" s="43"/>
      <c r="O50" s="109"/>
      <c r="W50" s="109"/>
      <c r="X50" s="109"/>
    </row>
    <row r="51" spans="2:24" s="20" customFormat="1" ht="29.25" customHeight="1">
      <c r="B51" s="329" t="s">
        <v>398</v>
      </c>
      <c r="C51" s="175">
        <f>ROUND(C6+C21+C50,6)</f>
        <v>-5175</v>
      </c>
      <c r="D51" s="175">
        <f t="shared" ref="D51:I51" si="49">ROUND(D6+D21+D50,6)</f>
        <v>-5502</v>
      </c>
      <c r="E51" s="175">
        <f t="shared" si="49"/>
        <v>-5208</v>
      </c>
      <c r="F51" s="175">
        <f t="shared" si="49"/>
        <v>-3194</v>
      </c>
      <c r="G51" s="175">
        <f t="shared" si="49"/>
        <v>-724</v>
      </c>
      <c r="H51" s="175">
        <f t="shared" si="49"/>
        <v>790</v>
      </c>
      <c r="I51" s="175">
        <f t="shared" si="49"/>
        <v>1179</v>
      </c>
      <c r="J51" s="175"/>
      <c r="L51" s="43"/>
      <c r="O51" s="109"/>
      <c r="W51" s="109"/>
      <c r="X51" s="109"/>
    </row>
    <row r="52" spans="2:24" s="20" customFormat="1" ht="18" customHeight="1">
      <c r="B52" s="174" t="s">
        <v>185</v>
      </c>
      <c r="C52" s="177"/>
      <c r="D52" s="177">
        <f>ABS(IFERROR(D51/('1_Economique'!E10)*100,0))</f>
        <v>0.85168301045641348</v>
      </c>
      <c r="E52" s="177">
        <f>ABS(IFERROR(E51/('1_Economique'!F10)*100,0))</f>
        <v>0.77950302192127729</v>
      </c>
      <c r="F52" s="177">
        <f>ABS(IFERROR(F51/('1_Economique'!G10)*100,0))</f>
        <v>0.46240063236254292</v>
      </c>
      <c r="G52" s="177">
        <f>ABS(IFERROR(G51/('1_Economique'!H10)*100,0))</f>
        <v>0.10134137345555888</v>
      </c>
      <c r="H52" s="177">
        <f>ABS(IFERROR(H51/('1_Economique'!I10)*100,0))</f>
        <v>0.10695940146060509</v>
      </c>
      <c r="I52" s="177">
        <f>ABS(IFERROR(I51/('1_Economique'!J10)*100,0))</f>
        <v>0.15447000019652671</v>
      </c>
      <c r="J52" s="176"/>
      <c r="L52" s="43"/>
      <c r="O52" s="109"/>
      <c r="W52" s="109"/>
      <c r="X52" s="109"/>
    </row>
    <row r="53" spans="2:24" s="20" customFormat="1" ht="6" customHeight="1">
      <c r="B53" s="170"/>
      <c r="C53" s="171"/>
      <c r="D53" s="171"/>
      <c r="E53" s="171"/>
      <c r="F53" s="171"/>
      <c r="G53" s="171"/>
      <c r="H53" s="171"/>
      <c r="I53" s="171"/>
      <c r="J53" s="171"/>
      <c r="L53" s="43"/>
      <c r="O53" s="109"/>
      <c r="W53" s="109"/>
      <c r="X53" s="109"/>
    </row>
    <row r="54" spans="2:24" s="20" customFormat="1" ht="18" customHeight="1">
      <c r="B54" s="172" t="s">
        <v>184</v>
      </c>
      <c r="C54" s="179">
        <f>'2_C_Financier'!C60</f>
        <v>0</v>
      </c>
      <c r="D54" s="179">
        <f>'2_C_Financier'!D60</f>
        <v>0</v>
      </c>
      <c r="E54" s="179">
        <f>'2_C_Financier'!E60+'6-Simulation'!D304</f>
        <v>0</v>
      </c>
      <c r="F54" s="179">
        <f>'2_C_Financier'!F60+'6-Simulation'!E304</f>
        <v>0</v>
      </c>
      <c r="G54" s="179">
        <f>'2_C_Financier'!G60+'6-Simulation'!F304</f>
        <v>1850</v>
      </c>
      <c r="H54" s="179">
        <f>'2_C_Financier'!H60+'6-Simulation'!G304</f>
        <v>2000</v>
      </c>
      <c r="I54" s="179">
        <f>'2_C_Financier'!I60+'6-Simulation'!H304</f>
        <v>2000</v>
      </c>
      <c r="J54" s="171"/>
      <c r="L54" s="43"/>
      <c r="N54" s="39"/>
      <c r="O54" s="109"/>
      <c r="W54" s="109"/>
      <c r="X54" s="109"/>
    </row>
    <row r="55" spans="2:24" s="20" customFormat="1" ht="27">
      <c r="B55" s="33" t="s">
        <v>141</v>
      </c>
      <c r="C55" s="32">
        <f>'2_C_Financier'!C61</f>
        <v>-2397</v>
      </c>
      <c r="D55" s="32">
        <f>'2_C_Financier'!D61</f>
        <v>-2289</v>
      </c>
      <c r="E55" s="32">
        <f>'2_C_Financier'!E61+'6-Simulation'!D305</f>
        <v>-2482</v>
      </c>
      <c r="F55" s="32">
        <f>'2_C_Financier'!F61+'6-Simulation'!E305</f>
        <v>-2501</v>
      </c>
      <c r="G55" s="32">
        <f>'2_C_Financier'!G61+'6-Simulation'!F305</f>
        <v>-2626</v>
      </c>
      <c r="H55" s="32">
        <f>'2_C_Financier'!H61+'6-Simulation'!G305</f>
        <v>-2790</v>
      </c>
      <c r="I55" s="32">
        <f>'2_C_Financier'!I61+'6-Simulation'!H305</f>
        <v>-2929</v>
      </c>
      <c r="J55" s="73"/>
      <c r="L55" s="43"/>
      <c r="O55" s="109"/>
      <c r="W55" s="109"/>
      <c r="X55" s="109"/>
    </row>
    <row r="56" spans="2:24" s="20" customFormat="1" ht="15" hidden="1" outlineLevel="1">
      <c r="B56" s="33" t="s">
        <v>140</v>
      </c>
      <c r="C56" s="32">
        <v>0</v>
      </c>
      <c r="D56" s="32">
        <v>0</v>
      </c>
      <c r="E56" s="32">
        <v>0</v>
      </c>
      <c r="F56" s="32">
        <v>0</v>
      </c>
      <c r="G56" s="32">
        <v>0</v>
      </c>
      <c r="H56" s="32">
        <v>0</v>
      </c>
      <c r="I56" s="32">
        <v>0</v>
      </c>
      <c r="L56" s="43"/>
      <c r="O56" s="109"/>
      <c r="W56" s="109"/>
      <c r="X56" s="109"/>
    </row>
    <row r="57" spans="2:24" s="20" customFormat="1" ht="18" customHeight="1" collapsed="1">
      <c r="B57" s="180" t="s">
        <v>227</v>
      </c>
      <c r="C57" s="181">
        <f t="shared" ref="C57:I57" si="50">ROUND(C51+C55+C56+C54,6)</f>
        <v>-7572</v>
      </c>
      <c r="D57" s="181">
        <f t="shared" si="50"/>
        <v>-7791</v>
      </c>
      <c r="E57" s="181">
        <f t="shared" si="50"/>
        <v>-7690</v>
      </c>
      <c r="F57" s="181">
        <f t="shared" si="50"/>
        <v>-5695</v>
      </c>
      <c r="G57" s="181">
        <f t="shared" si="50"/>
        <v>-1500</v>
      </c>
      <c r="H57" s="181">
        <f t="shared" si="50"/>
        <v>0</v>
      </c>
      <c r="I57" s="181">
        <f t="shared" si="50"/>
        <v>250</v>
      </c>
      <c r="J57" s="181"/>
      <c r="L57" s="43"/>
      <c r="N57" s="243" t="str">
        <f>IF(OR(E57&lt;-9528,F57&lt;-5695,G57&lt;-1500,H57&lt;0,I57&lt;0),"La Loi sur l'équilibre budgétaire n'est pas respectée. Les soldes du plan de retour à l'équilibre budgétaire ne sont pas respectés","La Loi sur l'équilibre budgétaire est respectée")</f>
        <v>La Loi sur l'équilibre budgétaire est respectée</v>
      </c>
      <c r="O57" s="109"/>
      <c r="W57" s="109"/>
      <c r="X57" s="109"/>
    </row>
    <row r="58" spans="2:24" s="20" customFormat="1" ht="18" customHeight="1" thickBot="1">
      <c r="B58" s="173" t="s">
        <v>185</v>
      </c>
      <c r="C58" s="178"/>
      <c r="D58" s="178">
        <f>ABS(IFERROR(D57/('1_Economique'!E10)*100,0))</f>
        <v>1.2060091483943871</v>
      </c>
      <c r="E58" s="178">
        <f>ABS(IFERROR(E57/('1_Economique'!F10)*100,0))</f>
        <v>1.1509942854405959</v>
      </c>
      <c r="F58" s="178">
        <f>ABS(IFERROR(F57/('1_Economique'!G10)*100,0))</f>
        <v>0.82447451512356984</v>
      </c>
      <c r="G58" s="178">
        <f>ABS(IFERROR(G57/('1_Economique'!H10)*100,0))</f>
        <v>0.2099614090930087</v>
      </c>
      <c r="H58" s="178">
        <f>ABS(IFERROR(H57/('1_Economique'!I10)*100,0))</f>
        <v>0</v>
      </c>
      <c r="I58" s="178">
        <f>ABS(IFERROR(I57/('1_Economique'!J10)*100,0))</f>
        <v>3.2754452967880987E-2</v>
      </c>
      <c r="J58" s="77"/>
      <c r="L58" s="43"/>
      <c r="O58" s="109"/>
      <c r="W58" s="109"/>
      <c r="X58" s="109"/>
    </row>
    <row r="59" spans="2:24" s="20" customFormat="1" ht="48.75" customHeight="1">
      <c r="B59" s="437" t="s">
        <v>403</v>
      </c>
      <c r="C59" s="437"/>
      <c r="D59" s="437"/>
      <c r="E59" s="437"/>
      <c r="F59" s="437"/>
      <c r="G59" s="437"/>
      <c r="H59" s="437"/>
      <c r="I59" s="437"/>
      <c r="J59" s="437"/>
      <c r="L59" s="43"/>
      <c r="O59" s="109"/>
      <c r="W59" s="109"/>
      <c r="X59" s="109"/>
    </row>
    <row r="60" spans="2:24" s="20" customFormat="1" ht="15">
      <c r="B60" s="36"/>
      <c r="C60" s="36"/>
      <c r="D60" s="36"/>
      <c r="E60" s="36"/>
      <c r="F60" s="36"/>
      <c r="G60" s="36"/>
      <c r="H60" s="36"/>
      <c r="I60" s="36"/>
      <c r="J60" s="36"/>
      <c r="L60" s="43"/>
      <c r="O60" s="109"/>
      <c r="W60" s="109"/>
      <c r="X60" s="109"/>
    </row>
    <row r="61" spans="2:24" s="20" customFormat="1" ht="16.5">
      <c r="B61" s="396" t="s">
        <v>193</v>
      </c>
      <c r="C61" s="396"/>
      <c r="D61" s="396"/>
      <c r="E61" s="396"/>
      <c r="F61" s="396"/>
      <c r="G61" s="396"/>
      <c r="H61" s="397"/>
      <c r="I61" s="139"/>
      <c r="J61" s="36"/>
      <c r="L61" s="43"/>
    </row>
    <row r="62" spans="2:24" s="20" customFormat="1" ht="16.5" thickBot="1">
      <c r="B62" s="398" t="s">
        <v>385</v>
      </c>
      <c r="C62" s="398"/>
      <c r="D62" s="398"/>
      <c r="E62" s="398"/>
      <c r="F62" s="398"/>
      <c r="G62" s="398"/>
      <c r="H62" s="399"/>
      <c r="I62" s="139"/>
      <c r="J62" s="36"/>
      <c r="L62" s="43"/>
    </row>
    <row r="63" spans="2:24" s="20" customFormat="1" ht="15">
      <c r="B63" s="44"/>
      <c r="C63" s="44"/>
      <c r="D63" s="45" t="str">
        <f t="shared" ref="D63:I63" si="51">D5</f>
        <v>2025-2026</v>
      </c>
      <c r="E63" s="45" t="str">
        <f t="shared" si="51"/>
        <v>2026-2027</v>
      </c>
      <c r="F63" s="45" t="str">
        <f t="shared" si="51"/>
        <v>2027-2028</v>
      </c>
      <c r="G63" s="45" t="str">
        <f t="shared" si="51"/>
        <v>2028-2029</v>
      </c>
      <c r="H63" s="45" t="str">
        <f t="shared" si="51"/>
        <v>2029-2030</v>
      </c>
      <c r="I63" s="45" t="str">
        <f t="shared" si="51"/>
        <v>2030-2031</v>
      </c>
      <c r="J63" s="36"/>
      <c r="L63" s="43"/>
    </row>
    <row r="64" spans="2:24" s="20" customFormat="1" ht="15">
      <c r="B64" s="137" t="s">
        <v>358</v>
      </c>
      <c r="C64" s="138"/>
      <c r="D64" s="138">
        <f>'2_C_Financier'!D72</f>
        <v>245907</v>
      </c>
      <c r="E64" s="138">
        <f>'2_C_Financier'!E72</f>
        <v>253456</v>
      </c>
      <c r="F64" s="138">
        <f>'2_C_Financier'!F72</f>
        <v>265066</v>
      </c>
      <c r="G64" s="138">
        <f>'2_C_Financier'!G72</f>
        <v>270702</v>
      </c>
      <c r="H64" s="138">
        <f>'2_C_Financier'!H72</f>
        <v>273201</v>
      </c>
      <c r="I64" s="138">
        <f>'2_C_Financier'!I72</f>
        <v>274985</v>
      </c>
      <c r="J64" s="36"/>
      <c r="L64" s="43"/>
    </row>
    <row r="65" spans="2:12" s="20" customFormat="1" ht="15.75">
      <c r="B65" s="151" t="s">
        <v>47</v>
      </c>
      <c r="C65" s="152"/>
      <c r="D65" s="153">
        <f>ROUND('2_C_Financier'!D72/('1_Economique'!E10)*100,1)</f>
        <v>38.1</v>
      </c>
      <c r="E65" s="153">
        <f>ROUND('2_C_Financier'!E72/('1_Economique'!F10)*100,1)</f>
        <v>37.9</v>
      </c>
      <c r="F65" s="153">
        <f>ROUND('2_C_Financier'!F72/('1_Economique'!G10)*100,1)</f>
        <v>38.4</v>
      </c>
      <c r="G65" s="153">
        <f>ROUND('2_C_Financier'!G72/('1_Economique'!H10)*100,1)</f>
        <v>37.9</v>
      </c>
      <c r="H65" s="153">
        <f>ROUND('2_C_Financier'!H72/('1_Economique'!I10)*100,1)</f>
        <v>37</v>
      </c>
      <c r="I65" s="153">
        <f>ROUND('2_C_Financier'!I72/('1_Economique'!J10)*100,1)</f>
        <v>36</v>
      </c>
      <c r="J65" s="36"/>
      <c r="L65" s="43"/>
    </row>
    <row r="66" spans="2:12" s="20" customFormat="1" ht="28.5">
      <c r="B66" s="145" t="s">
        <v>205</v>
      </c>
      <c r="C66" s="75"/>
      <c r="D66" s="75"/>
      <c r="E66" s="75">
        <f>-'6-Simulation'!D309</f>
        <v>0</v>
      </c>
      <c r="F66" s="75">
        <f>-'6-Simulation'!D309-'6-Simulation'!E309</f>
        <v>0</v>
      </c>
      <c r="G66" s="75">
        <f>-'6-Simulation'!D309-'6-Simulation'!E309-'6-Simulation'!F309</f>
        <v>0</v>
      </c>
      <c r="H66" s="75">
        <f>-'6-Simulation'!D309-'6-Simulation'!E309-'6-Simulation'!F309-'6-Simulation'!G309</f>
        <v>0</v>
      </c>
      <c r="I66" s="75">
        <f>-'6-Simulation'!D309-'6-Simulation'!E309-'6-Simulation'!F309-'6-Simulation'!G309-'6-Simulation'!H309</f>
        <v>0</v>
      </c>
      <c r="J66" s="36"/>
      <c r="L66" s="43"/>
    </row>
    <row r="67" spans="2:12" s="20" customFormat="1" ht="28.5">
      <c r="B67" s="145" t="s">
        <v>278</v>
      </c>
      <c r="C67" s="74"/>
      <c r="D67" s="75"/>
      <c r="E67" s="75">
        <f>--'6-Simulation'!D305</f>
        <v>0</v>
      </c>
      <c r="F67" s="75">
        <f>-(-'6-Simulation'!D305-'6-Simulation'!E305)</f>
        <v>0</v>
      </c>
      <c r="G67" s="75">
        <f>-(-'6-Simulation'!D305-'6-Simulation'!E305-'6-Simulation'!F305)</f>
        <v>0</v>
      </c>
      <c r="H67" s="75">
        <f>-(-'6-Simulation'!D305-'6-Simulation'!E305-'6-Simulation'!F305-'6-Simulation'!G305)</f>
        <v>0</v>
      </c>
      <c r="I67" s="75">
        <f>-(-'6-Simulation'!D305-'6-Simulation'!E305-'6-Simulation'!F305-'6-Simulation'!G305-'6-Simulation'!H305)</f>
        <v>0</v>
      </c>
      <c r="J67" s="36"/>
      <c r="L67" s="43"/>
    </row>
    <row r="68" spans="2:12" s="20" customFormat="1" ht="30.75" customHeight="1">
      <c r="B68" s="145" t="s">
        <v>243</v>
      </c>
      <c r="C68" s="74"/>
      <c r="D68" s="75"/>
      <c r="E68" s="75">
        <f>-1*(SUM('6-Simulation'!$D$524:D$533)-SUM('6-Simulation'!$D$549:D$549))</f>
        <v>0</v>
      </c>
      <c r="F68" s="75">
        <f>-1*(SUM('6-Simulation'!$D$524:E$533)-SUM('6-Simulation'!$D$549:E$549))</f>
        <v>0</v>
      </c>
      <c r="G68" s="75">
        <f>-1*(SUM('6-Simulation'!$D$524:F$533)-SUM('6-Simulation'!$D$549:F$549))</f>
        <v>0</v>
      </c>
      <c r="H68" s="75">
        <f>-1*(SUM('6-Simulation'!$D$524:G$533)-SUM('6-Simulation'!$D$549:G$549))</f>
        <v>0</v>
      </c>
      <c r="I68" s="75">
        <f>-1*(SUM('6-Simulation'!$D$524:H$533)-SUM('6-Simulation'!$D$549:H$549))</f>
        <v>0</v>
      </c>
      <c r="J68" s="36"/>
      <c r="L68" s="43"/>
    </row>
    <row r="69" spans="2:12" s="20" customFormat="1" ht="15">
      <c r="B69" s="196" t="s">
        <v>207</v>
      </c>
      <c r="C69" s="197"/>
      <c r="D69" s="198"/>
      <c r="E69" s="224">
        <f>SUM(E66:E68)</f>
        <v>0</v>
      </c>
      <c r="F69" s="224">
        <f t="shared" ref="F69:I69" si="52">SUM(F66:F68)</f>
        <v>0</v>
      </c>
      <c r="G69" s="224">
        <f t="shared" si="52"/>
        <v>0</v>
      </c>
      <c r="H69" s="224">
        <f t="shared" si="52"/>
        <v>0</v>
      </c>
      <c r="I69" s="224">
        <f t="shared" si="52"/>
        <v>0</v>
      </c>
      <c r="J69" s="36"/>
      <c r="L69" s="43"/>
    </row>
    <row r="70" spans="2:12" s="20" customFormat="1" ht="15">
      <c r="B70" s="76" t="s">
        <v>219</v>
      </c>
      <c r="C70" s="76"/>
      <c r="D70" s="77">
        <f t="shared" ref="D70:I70" si="53">D64+D69</f>
        <v>245907</v>
      </c>
      <c r="E70" s="77">
        <f t="shared" si="53"/>
        <v>253456</v>
      </c>
      <c r="F70" s="77">
        <f t="shared" si="53"/>
        <v>265066</v>
      </c>
      <c r="G70" s="77">
        <f t="shared" si="53"/>
        <v>270702</v>
      </c>
      <c r="H70" s="77">
        <f t="shared" si="53"/>
        <v>273201</v>
      </c>
      <c r="I70" s="77">
        <f t="shared" si="53"/>
        <v>274985</v>
      </c>
      <c r="J70" s="36"/>
      <c r="L70" s="43"/>
    </row>
    <row r="71" spans="2:12" s="20" customFormat="1" ht="15.75" thickBot="1">
      <c r="B71" s="149" t="s">
        <v>48</v>
      </c>
      <c r="C71" s="149"/>
      <c r="D71" s="150">
        <f>ROUND(D70/('1_Economique'!E10)*100,1)</f>
        <v>38.1</v>
      </c>
      <c r="E71" s="150">
        <f>ROUND(E70/('1_Economique'!F10)*100,1)</f>
        <v>37.9</v>
      </c>
      <c r="F71" s="150">
        <f>ROUND(F70/('1_Economique'!G10)*100,1)</f>
        <v>38.4</v>
      </c>
      <c r="G71" s="150">
        <f>ROUND(G70/('1_Economique'!H10)*100,1)</f>
        <v>37.9</v>
      </c>
      <c r="H71" s="150">
        <f>ROUND(H70/('1_Economique'!I10)*100,1)</f>
        <v>37</v>
      </c>
      <c r="I71" s="150">
        <f>ROUND(I70/('1_Economique'!J10)*100,1)</f>
        <v>36</v>
      </c>
      <c r="J71" s="36"/>
      <c r="L71" s="43"/>
    </row>
    <row r="72" spans="2:12" s="20" customFormat="1" ht="15" customHeight="1">
      <c r="B72" s="437"/>
      <c r="C72" s="437"/>
      <c r="D72" s="437"/>
      <c r="E72" s="437"/>
      <c r="F72" s="437"/>
      <c r="G72" s="437"/>
      <c r="H72" s="437"/>
      <c r="I72" s="437"/>
      <c r="J72" s="36"/>
      <c r="L72" s="43"/>
    </row>
    <row r="73" spans="2:12" s="20" customFormat="1" ht="15">
      <c r="E73" s="39"/>
      <c r="J73" s="36"/>
      <c r="L73" s="43"/>
    </row>
    <row r="74" spans="2:12" s="20" customFormat="1" ht="16.5">
      <c r="B74" s="396" t="s">
        <v>52</v>
      </c>
      <c r="C74" s="396"/>
      <c r="D74" s="396"/>
      <c r="E74" s="396"/>
      <c r="F74" s="396"/>
      <c r="G74" s="396"/>
      <c r="H74" s="397"/>
      <c r="I74" s="36"/>
      <c r="J74" s="36"/>
      <c r="L74" s="43"/>
    </row>
    <row r="75" spans="2:12" s="20" customFormat="1" ht="16.5" thickBot="1">
      <c r="B75" s="398" t="s">
        <v>385</v>
      </c>
      <c r="C75" s="398"/>
      <c r="D75" s="398"/>
      <c r="E75" s="398"/>
      <c r="F75" s="398"/>
      <c r="G75" s="398"/>
      <c r="H75" s="399"/>
      <c r="I75" s="36"/>
      <c r="J75" s="36"/>
      <c r="L75" s="43"/>
    </row>
    <row r="76" spans="2:12" s="20" customFormat="1" ht="15">
      <c r="B76" s="44"/>
      <c r="C76" s="44"/>
      <c r="D76" s="45" t="str">
        <f t="shared" ref="D76:I76" si="54">D5</f>
        <v>2025-2026</v>
      </c>
      <c r="E76" s="45" t="str">
        <f t="shared" si="54"/>
        <v>2026-2027</v>
      </c>
      <c r="F76" s="45" t="str">
        <f t="shared" si="54"/>
        <v>2027-2028</v>
      </c>
      <c r="G76" s="45" t="str">
        <f t="shared" si="54"/>
        <v>2028-2029</v>
      </c>
      <c r="H76" s="45" t="str">
        <f t="shared" si="54"/>
        <v>2029-2030</v>
      </c>
      <c r="I76" s="45" t="str">
        <f t="shared" si="54"/>
        <v>2030-2031</v>
      </c>
      <c r="J76" s="36"/>
      <c r="L76" s="43"/>
    </row>
    <row r="77" spans="2:12" s="20" customFormat="1" ht="15">
      <c r="B77" s="137" t="s">
        <v>359</v>
      </c>
      <c r="C77" s="138"/>
      <c r="D77" s="138">
        <f>'2_C_Financier'!D74</f>
        <v>265547</v>
      </c>
      <c r="E77" s="138">
        <f>'2_C_Financier'!E74</f>
        <v>280807</v>
      </c>
      <c r="F77" s="138">
        <f>'2_C_Financier'!F74</f>
        <v>295462</v>
      </c>
      <c r="G77" s="138">
        <f>'2_C_Financier'!G74</f>
        <v>305967</v>
      </c>
      <c r="H77" s="138">
        <f>'2_C_Financier'!H74</f>
        <v>311817</v>
      </c>
      <c r="I77" s="138">
        <f>'2_C_Financier'!I74</f>
        <v>316499</v>
      </c>
      <c r="J77" s="36"/>
      <c r="L77" s="43"/>
    </row>
    <row r="78" spans="2:12" s="20" customFormat="1" ht="15.75">
      <c r="B78" s="151" t="s">
        <v>47</v>
      </c>
      <c r="C78" s="152"/>
      <c r="D78" s="153">
        <f>ROUND('2_C_Financier'!D74/('1_Economique'!E10)*100,1)</f>
        <v>41.1</v>
      </c>
      <c r="E78" s="153">
        <f>ROUND('2_C_Financier'!E74/('1_Economique'!F10)*100,1)</f>
        <v>42</v>
      </c>
      <c r="F78" s="153">
        <f>ROUND('2_C_Financier'!F74/('1_Economique'!G10)*100,1)</f>
        <v>42.8</v>
      </c>
      <c r="G78" s="153">
        <f>ROUND('2_C_Financier'!G74/('1_Economique'!H10)*100,1)</f>
        <v>42.8</v>
      </c>
      <c r="H78" s="153">
        <f>ROUND('2_C_Financier'!H74/('1_Economique'!I10)*100,1)</f>
        <v>42.2</v>
      </c>
      <c r="I78" s="153">
        <f>ROUND('2_C_Financier'!I74/('1_Economique'!J10)*100,1)</f>
        <v>41.5</v>
      </c>
      <c r="J78" s="36"/>
      <c r="L78" s="43"/>
    </row>
    <row r="79" spans="2:12" s="20" customFormat="1" ht="28.5">
      <c r="B79" s="145" t="s">
        <v>205</v>
      </c>
      <c r="C79" s="74"/>
      <c r="D79" s="75"/>
      <c r="E79" s="75">
        <f>-'6-Simulation'!D309</f>
        <v>0</v>
      </c>
      <c r="F79" s="75">
        <f>-'6-Simulation'!D309-'6-Simulation'!E309</f>
        <v>0</v>
      </c>
      <c r="G79" s="75">
        <f>-'6-Simulation'!D309-'6-Simulation'!E309-'6-Simulation'!F309</f>
        <v>0</v>
      </c>
      <c r="H79" s="75">
        <f>-'6-Simulation'!D309-'6-Simulation'!E309-'6-Simulation'!F309-'6-Simulation'!G309</f>
        <v>0</v>
      </c>
      <c r="I79" s="75">
        <f>-'6-Simulation'!D309-'6-Simulation'!E309-'6-Simulation'!F309-'6-Simulation'!G309-'6-Simulation'!H309</f>
        <v>0</v>
      </c>
      <c r="J79" s="36"/>
      <c r="L79" s="43"/>
    </row>
    <row r="80" spans="2:12" s="20" customFormat="1" ht="28.5">
      <c r="B80" s="145" t="s">
        <v>394</v>
      </c>
      <c r="C80" s="74"/>
      <c r="D80" s="75"/>
      <c r="E80" s="75">
        <f>--'6-Simulation'!D305</f>
        <v>0</v>
      </c>
      <c r="F80" s="75">
        <f>-(-'6-Simulation'!D305-'6-Simulation'!E305)</f>
        <v>0</v>
      </c>
      <c r="G80" s="75">
        <f>-(-'6-Simulation'!D305-'6-Simulation'!E305-'6-Simulation'!F305)</f>
        <v>0</v>
      </c>
      <c r="H80" s="75">
        <f>-(-'6-Simulation'!D305-'6-Simulation'!E305-'6-Simulation'!F305-'6-Simulation'!G305)</f>
        <v>0</v>
      </c>
      <c r="I80" s="75">
        <f>-(-'6-Simulation'!D305-'6-Simulation'!E305-'6-Simulation'!F305-'6-Simulation'!G305-'6-Simulation'!H305)</f>
        <v>0</v>
      </c>
      <c r="J80" s="36"/>
      <c r="L80" s="43"/>
    </row>
    <row r="81" spans="1:12" s="20" customFormat="1" ht="44.25" customHeight="1">
      <c r="B81" s="145" t="s">
        <v>243</v>
      </c>
      <c r="C81" s="74"/>
      <c r="D81" s="75"/>
      <c r="E81" s="75">
        <f>-1*(SUM('6-Simulation'!$D$524:D$533)-SUM('6-Simulation'!$D$549:D$549))</f>
        <v>0</v>
      </c>
      <c r="F81" s="75">
        <f>-1*(SUM('6-Simulation'!$D$524:E$533)-SUM('6-Simulation'!$D$549:E$549))</f>
        <v>0</v>
      </c>
      <c r="G81" s="75">
        <f>-1*(SUM('6-Simulation'!$D$524:F$533)-SUM('6-Simulation'!$D$549:F$549))</f>
        <v>0</v>
      </c>
      <c r="H81" s="75">
        <f>-1*(SUM('6-Simulation'!$D$524:G$533)-SUM('6-Simulation'!$D$549:G$549))</f>
        <v>0</v>
      </c>
      <c r="I81" s="75">
        <f>-1*(SUM('6-Simulation'!$D$524:H$533)-SUM('6-Simulation'!$D$549:H$549))</f>
        <v>0</v>
      </c>
      <c r="J81" s="36"/>
      <c r="L81" s="43"/>
    </row>
    <row r="82" spans="1:12" s="20" customFormat="1" ht="15.75">
      <c r="B82" s="196" t="s">
        <v>208</v>
      </c>
      <c r="C82" s="74"/>
      <c r="D82" s="75"/>
      <c r="E82" s="199">
        <f>SUM(E79:E81)</f>
        <v>0</v>
      </c>
      <c r="F82" s="199">
        <f>SUM(F79:F81)</f>
        <v>0</v>
      </c>
      <c r="G82" s="199">
        <f>SUM(G79:G81)</f>
        <v>0</v>
      </c>
      <c r="H82" s="199">
        <f>SUM(H79:H81)</f>
        <v>0</v>
      </c>
      <c r="I82" s="199">
        <f>SUM(I79:I81)</f>
        <v>0</v>
      </c>
      <c r="J82" s="36"/>
      <c r="L82" s="43"/>
    </row>
    <row r="83" spans="1:12" s="20" customFormat="1" ht="15">
      <c r="B83" s="76" t="s">
        <v>220</v>
      </c>
      <c r="C83" s="76"/>
      <c r="D83" s="77">
        <f t="shared" ref="D83:I83" si="55">D77+D82</f>
        <v>265547</v>
      </c>
      <c r="E83" s="77">
        <f t="shared" si="55"/>
        <v>280807</v>
      </c>
      <c r="F83" s="77">
        <f t="shared" si="55"/>
        <v>295462</v>
      </c>
      <c r="G83" s="77">
        <f t="shared" si="55"/>
        <v>305967</v>
      </c>
      <c r="H83" s="77">
        <f t="shared" si="55"/>
        <v>311817</v>
      </c>
      <c r="I83" s="77">
        <f t="shared" si="55"/>
        <v>316499</v>
      </c>
      <c r="J83" s="36"/>
      <c r="L83" s="43"/>
    </row>
    <row r="84" spans="1:12" s="20" customFormat="1" ht="15.75" thickBot="1">
      <c r="B84" s="149" t="s">
        <v>48</v>
      </c>
      <c r="C84" s="149"/>
      <c r="D84" s="150">
        <f>ROUND(D83/('1_Economique'!E10)*100,1)</f>
        <v>41.1</v>
      </c>
      <c r="E84" s="150">
        <f>ROUND(E83/('1_Economique'!F10)*100,1)</f>
        <v>42</v>
      </c>
      <c r="F84" s="150">
        <f>ROUND(F83/('1_Economique'!G10)*100,1)</f>
        <v>42.8</v>
      </c>
      <c r="G84" s="150">
        <f>ROUND(G83/('1_Economique'!H10)*100,1)</f>
        <v>42.8</v>
      </c>
      <c r="H84" s="150">
        <f>ROUND(H83/('1_Economique'!I10)*100,1)</f>
        <v>42.2</v>
      </c>
      <c r="I84" s="150">
        <f>ROUND(I83/('1_Economique'!J10)*100,1)</f>
        <v>41.5</v>
      </c>
      <c r="J84" s="36"/>
      <c r="L84" s="43"/>
    </row>
    <row r="85" spans="1:12" s="20" customFormat="1" ht="27" customHeight="1">
      <c r="B85" s="437" t="s">
        <v>395</v>
      </c>
      <c r="C85" s="437"/>
      <c r="D85" s="437"/>
      <c r="E85" s="437"/>
      <c r="F85" s="437"/>
      <c r="G85" s="437"/>
      <c r="H85" s="437"/>
      <c r="I85" s="437"/>
      <c r="J85" s="36"/>
      <c r="L85" s="43"/>
    </row>
    <row r="88" spans="1:12" s="20" customFormat="1" ht="16.5">
      <c r="B88" s="396" t="s">
        <v>274</v>
      </c>
      <c r="C88" s="396"/>
      <c r="D88" s="396"/>
      <c r="E88" s="396"/>
      <c r="F88" s="396"/>
      <c r="G88" s="396"/>
      <c r="H88" s="397"/>
      <c r="I88" s="36"/>
      <c r="J88" s="36"/>
      <c r="L88" s="43"/>
    </row>
    <row r="89" spans="1:12" s="20" customFormat="1" ht="16.5" thickBot="1">
      <c r="B89" s="398" t="s">
        <v>385</v>
      </c>
      <c r="C89" s="398"/>
      <c r="D89" s="398"/>
      <c r="E89" s="398"/>
      <c r="F89" s="398"/>
      <c r="G89" s="398"/>
      <c r="H89" s="399"/>
      <c r="I89" s="36"/>
      <c r="J89" s="36"/>
      <c r="L89" s="43"/>
    </row>
    <row r="90" spans="1:12" s="20" customFormat="1" ht="15">
      <c r="B90" s="44"/>
      <c r="C90" s="44"/>
      <c r="D90" s="45" t="s">
        <v>57</v>
      </c>
      <c r="E90" s="45" t="s">
        <v>58</v>
      </c>
      <c r="F90" s="45" t="s">
        <v>180</v>
      </c>
      <c r="G90" s="45" t="s">
        <v>181</v>
      </c>
      <c r="H90" s="45" t="s">
        <v>182</v>
      </c>
      <c r="I90" s="45" t="s">
        <v>183</v>
      </c>
      <c r="J90" s="36"/>
      <c r="L90" s="43"/>
    </row>
    <row r="91" spans="1:12" s="20" customFormat="1" ht="43.5" customHeight="1">
      <c r="B91" s="240" t="s">
        <v>396</v>
      </c>
      <c r="C91" s="241"/>
      <c r="D91" s="241"/>
      <c r="E91" s="241">
        <f>'6-Simulation'!D309+'6-Simulation'!D320-'6-Simulation'!D317-'8-RevisionsCF_RPE'!E55</f>
        <v>0</v>
      </c>
      <c r="F91" s="241">
        <f>'6-Simulation'!E309+'6-Simulation'!E320-'6-Simulation'!E317-'8-RevisionsCF_RPE'!F55</f>
        <v>0</v>
      </c>
      <c r="G91" s="241">
        <f>'6-Simulation'!F309+'6-Simulation'!F320-'6-Simulation'!F317-'8-RevisionsCF_RPE'!G55</f>
        <v>0</v>
      </c>
      <c r="H91" s="241">
        <f>'6-Simulation'!G309+'6-Simulation'!G320-'6-Simulation'!G317-'8-RevisionsCF_RPE'!H55</f>
        <v>0</v>
      </c>
      <c r="I91" s="241">
        <f>'6-Simulation'!H309+'6-Simulation'!H320-'6-Simulation'!H317-'8-RevisionsCF_RPE'!I55</f>
        <v>0</v>
      </c>
      <c r="J91" s="36"/>
      <c r="L91" s="43"/>
    </row>
    <row r="92" spans="1:12" s="20" customFormat="1" ht="27">
      <c r="B92" s="240" t="s">
        <v>275</v>
      </c>
      <c r="C92" s="241"/>
      <c r="D92" s="241"/>
      <c r="E92" s="241">
        <f>COUNTIFS('6-Simulation'!D$8:D$47,"&lt;&gt;",'6-Simulation'!D$8:D$47,"&lt;&gt;0",'6-Simulation'!$K$8:$K$47,"-- Choisir --")</f>
        <v>0</v>
      </c>
      <c r="F92" s="241">
        <f>COUNTIFS('6-Simulation'!E$8:E$47,"&lt;&gt;",'6-Simulation'!E$8:E$47,"&lt;&gt;0",'6-Simulation'!$K$8:$K$47,"-- Choisir --")</f>
        <v>0</v>
      </c>
      <c r="G92" s="241">
        <f>COUNTIFS('6-Simulation'!F$8:F$47,"&lt;&gt;",'6-Simulation'!F$8:F$47,"&lt;&gt;0",'6-Simulation'!$K$8:$K$47,"-- Choisir --")</f>
        <v>0</v>
      </c>
      <c r="H92" s="241">
        <f>COUNTIFS('6-Simulation'!G$8:G$47,"&lt;&gt;",'6-Simulation'!G$8:G$47,"&lt;&gt;0",'6-Simulation'!$K$8:$K$47,"-- Choisir --")</f>
        <v>0</v>
      </c>
      <c r="I92" s="241">
        <f>COUNTIFS('6-Simulation'!H$8:H$47,"&lt;&gt;",'6-Simulation'!H$8:H$47,"&lt;&gt;0",'6-Simulation'!$K$8:$K$47,"-- Choisir --")</f>
        <v>0</v>
      </c>
      <c r="J92" s="36"/>
      <c r="L92" s="43"/>
    </row>
    <row r="93" spans="1:12" s="20" customFormat="1" ht="27.75" thickBot="1">
      <c r="B93" s="240" t="s">
        <v>276</v>
      </c>
      <c r="C93" s="241"/>
      <c r="D93" s="241"/>
      <c r="E93" s="241">
        <f>COUNTIFS('6-Simulation'!D$52:D$91,"&lt;&gt;",'6-Simulation'!D$52:D$91,"&lt;&gt;0",'6-Simulation'!$K$52:$K$91,"-- Choisir --")+COUNTIFS('6-Simulation'!D$96:D$213,"&lt;&gt;",'6-Simulation'!D$96:D$213,"&lt;&gt;0",'6-Simulation'!$K$96:$K$213,"-- Choisir un secteur d'activité dans la colonne B --")+COUNTIFS('6-Simulation'!D$218:D$296,"&lt;&gt;",'6-Simulation'!D$218:D$296,"&lt;&gt;0",'6-Simulation'!$K$218:$K$296,"-- Choisir un secteur d'activité dans la colonne B --")</f>
        <v>0</v>
      </c>
      <c r="F93" s="241">
        <f>COUNTIFS('6-Simulation'!E$52:E$91,"&lt;&gt;",'6-Simulation'!E$52:E$91,"&lt;&gt;0",'6-Simulation'!$K$52:$K$91,"-- Choisir --")+COUNTIFS('6-Simulation'!E$96:E$213,"&lt;&gt;",'6-Simulation'!E$96:E$213,"&lt;&gt;0",'6-Simulation'!$K$96:$K$213,"-- Choisir un secteur d'activité dans la colonne B --")+COUNTIFS('6-Simulation'!E$218:E$296,"&lt;&gt;",'6-Simulation'!E$218:E$296,"&lt;&gt;0",'6-Simulation'!$K$218:$K$296,"-- Choisir un secteur d'activité dans la colonne B --")</f>
        <v>0</v>
      </c>
      <c r="G93" s="241">
        <f>COUNTIFS('6-Simulation'!F$52:F$91,"&lt;&gt;",'6-Simulation'!F$52:F$91,"&lt;&gt;0",'6-Simulation'!$K$52:$K$91,"-- Choisir --")+COUNTIFS('6-Simulation'!F$96:F$213,"&lt;&gt;",'6-Simulation'!F$96:F$213,"&lt;&gt;0",'6-Simulation'!$K$96:$K$213,"-- Choisir un secteur d'activité dans la colonne B --")+COUNTIFS('6-Simulation'!F$218:F$296,"&lt;&gt;",'6-Simulation'!F$218:F$296,"&lt;&gt;0",'6-Simulation'!$K$218:$K$296,"-- Choisir un secteur d'activité dans la colonne B --")</f>
        <v>0</v>
      </c>
      <c r="H93" s="241">
        <f>COUNTIFS('6-Simulation'!G$52:G$91,"&lt;&gt;",'6-Simulation'!G$52:G$91,"&lt;&gt;0",'6-Simulation'!$K$52:$K$91,"-- Choisir --")+COUNTIFS('6-Simulation'!G$96:G$213,"&lt;&gt;",'6-Simulation'!G$96:G$213,"&lt;&gt;0",'6-Simulation'!$K$96:$K$213,"-- Choisir un secteur d'activité dans la colonne B --")+COUNTIFS('6-Simulation'!G$218:G$296,"&lt;&gt;",'6-Simulation'!G$218:G$296,"&lt;&gt;0",'6-Simulation'!$K$218:$K$296,"-- Choisir un secteur d'activité dans la colonne B --")</f>
        <v>0</v>
      </c>
      <c r="I93" s="241">
        <f>COUNTIFS('6-Simulation'!H$52:H$91,"&lt;&gt;",'6-Simulation'!H$52:H$91,"&lt;&gt;0",'6-Simulation'!$K$52:$K$91,"-- Choisir --")+COUNTIFS('6-Simulation'!H$96:H$213,"&lt;&gt;",'6-Simulation'!H$96:H$213,"&lt;&gt;0",'6-Simulation'!$K$96:$K$213,"-- Choisir un secteur d'activité dans la colonne B --")+COUNTIFS('6-Simulation'!H$218:H$296,"&lt;&gt;",'6-Simulation'!H$218:H$296,"&lt;&gt;0",'6-Simulation'!$K$218:$K$296,"-- Choisir un secteur d'activité dans la colonne B --")</f>
        <v>0</v>
      </c>
      <c r="J93" s="36"/>
      <c r="L93" s="43"/>
    </row>
    <row r="94" spans="1:12" s="20" customFormat="1" ht="24" customHeight="1">
      <c r="B94" s="437" t="s">
        <v>406</v>
      </c>
      <c r="C94" s="437"/>
      <c r="D94" s="437"/>
      <c r="E94" s="437"/>
      <c r="F94" s="437"/>
      <c r="G94" s="437"/>
      <c r="H94" s="437"/>
      <c r="I94" s="437"/>
      <c r="J94" s="36"/>
      <c r="L94" s="43"/>
    </row>
    <row r="96" spans="1:12" ht="12.95" customHeight="1">
      <c r="A96" s="265"/>
      <c r="B96" s="265"/>
      <c r="C96" s="265"/>
      <c r="D96" s="265"/>
      <c r="E96" s="265"/>
      <c r="F96" s="265"/>
      <c r="G96" s="265"/>
      <c r="H96" s="265"/>
      <c r="I96" s="265"/>
      <c r="J96" s="265"/>
      <c r="K96" s="265"/>
    </row>
    <row r="98" spans="2:9">
      <c r="B98" s="107"/>
      <c r="C98" s="107"/>
      <c r="D98" s="78"/>
    </row>
    <row r="99" spans="2:9">
      <c r="B99" s="71"/>
      <c r="C99" s="72"/>
      <c r="D99" s="72"/>
      <c r="E99" s="72"/>
      <c r="F99" s="72"/>
      <c r="G99" s="72"/>
      <c r="H99" s="72"/>
      <c r="I99" s="72"/>
    </row>
    <row r="100" spans="2:9">
      <c r="B100" s="71"/>
      <c r="C100" s="72"/>
      <c r="D100" s="72"/>
      <c r="E100" s="72"/>
      <c r="F100" s="72"/>
      <c r="G100" s="72"/>
      <c r="H100" s="72"/>
      <c r="I100" s="72"/>
    </row>
    <row r="101" spans="2:9">
      <c r="B101" s="71"/>
      <c r="C101" s="72"/>
      <c r="D101" s="72"/>
      <c r="E101" s="72"/>
      <c r="F101" s="72"/>
      <c r="G101" s="72"/>
      <c r="H101" s="72"/>
      <c r="I101" s="72"/>
    </row>
    <row r="102" spans="2:9">
      <c r="B102" s="71"/>
      <c r="C102" s="72"/>
      <c r="D102" s="72"/>
      <c r="E102" s="72"/>
      <c r="F102" s="72"/>
      <c r="G102" s="72"/>
      <c r="H102" s="72"/>
      <c r="I102" s="72"/>
    </row>
    <row r="103" spans="2:9">
      <c r="B103" s="71"/>
      <c r="C103" s="72"/>
      <c r="D103" s="72"/>
      <c r="E103" s="72"/>
      <c r="F103" s="72"/>
      <c r="G103" s="72"/>
      <c r="H103" s="72"/>
      <c r="I103" s="72"/>
    </row>
    <row r="104" spans="2:9">
      <c r="B104" s="71"/>
      <c r="C104" s="72"/>
      <c r="D104" s="72"/>
      <c r="E104" s="72"/>
      <c r="F104" s="72"/>
      <c r="G104" s="72"/>
      <c r="H104" s="72"/>
      <c r="I104" s="72"/>
    </row>
    <row r="105" spans="2:9">
      <c r="B105" s="71"/>
      <c r="C105" s="72"/>
      <c r="D105" s="72"/>
      <c r="E105" s="72"/>
      <c r="F105" s="72"/>
      <c r="G105" s="72"/>
      <c r="H105" s="72"/>
      <c r="I105" s="72"/>
    </row>
    <row r="106" spans="2:9">
      <c r="B106" s="71"/>
      <c r="C106" s="72"/>
      <c r="D106" s="72"/>
      <c r="E106" s="72"/>
      <c r="F106" s="72"/>
      <c r="G106" s="72"/>
      <c r="H106" s="72"/>
      <c r="I106" s="72"/>
    </row>
    <row r="107" spans="2:9">
      <c r="B107" s="71"/>
      <c r="C107" s="72"/>
      <c r="D107" s="72"/>
      <c r="E107" s="72"/>
      <c r="F107" s="72"/>
      <c r="G107" s="72"/>
      <c r="H107" s="72"/>
      <c r="I107" s="72"/>
    </row>
    <row r="108" spans="2:9">
      <c r="B108" s="71"/>
      <c r="C108" s="72"/>
      <c r="D108" s="72"/>
      <c r="E108" s="72"/>
      <c r="F108" s="72"/>
      <c r="G108" s="72"/>
      <c r="H108" s="72"/>
      <c r="I108" s="72"/>
    </row>
    <row r="109" spans="2:9">
      <c r="B109" s="71"/>
      <c r="C109" s="72"/>
      <c r="D109" s="72"/>
      <c r="E109" s="72"/>
      <c r="F109" s="72"/>
      <c r="G109" s="72"/>
      <c r="H109" s="72"/>
      <c r="I109" s="72"/>
    </row>
    <row r="110" spans="2:9">
      <c r="B110" s="71"/>
      <c r="C110" s="72"/>
      <c r="D110" s="72"/>
      <c r="E110" s="72"/>
      <c r="F110" s="72"/>
      <c r="G110" s="72"/>
      <c r="H110" s="72"/>
      <c r="I110" s="72"/>
    </row>
    <row r="111" spans="2:9">
      <c r="B111" s="71"/>
      <c r="C111" s="72"/>
      <c r="D111" s="72"/>
      <c r="E111" s="72"/>
      <c r="F111" s="72"/>
      <c r="G111" s="72"/>
      <c r="H111" s="72"/>
      <c r="I111" s="72"/>
    </row>
    <row r="112" spans="2:9">
      <c r="B112" s="71"/>
      <c r="C112" s="72"/>
      <c r="D112" s="72"/>
      <c r="E112" s="72"/>
      <c r="F112" s="72"/>
      <c r="G112" s="72"/>
      <c r="H112" s="72"/>
      <c r="I112" s="72"/>
    </row>
    <row r="113" spans="2:9">
      <c r="B113" s="71"/>
      <c r="C113" s="72"/>
      <c r="D113" s="72"/>
      <c r="E113" s="72"/>
      <c r="F113" s="72"/>
      <c r="G113" s="72"/>
      <c r="H113" s="72"/>
      <c r="I113" s="72"/>
    </row>
    <row r="114" spans="2:9">
      <c r="B114" s="71"/>
      <c r="C114" s="72"/>
      <c r="D114" s="72"/>
      <c r="E114" s="72"/>
      <c r="F114" s="72"/>
      <c r="G114" s="72"/>
      <c r="H114" s="72"/>
      <c r="I114" s="72"/>
    </row>
    <row r="115" spans="2:9">
      <c r="B115" s="71"/>
      <c r="C115" s="72"/>
      <c r="D115" s="72"/>
      <c r="E115" s="72"/>
      <c r="F115" s="72"/>
      <c r="G115" s="72"/>
      <c r="H115" s="72"/>
      <c r="I115" s="72"/>
    </row>
    <row r="116" spans="2:9">
      <c r="B116" s="71"/>
      <c r="C116" s="72"/>
      <c r="D116" s="72"/>
      <c r="E116" s="72"/>
      <c r="F116" s="72"/>
      <c r="G116" s="72"/>
      <c r="H116" s="72"/>
      <c r="I116" s="72"/>
    </row>
    <row r="117" spans="2:9">
      <c r="B117" s="71"/>
      <c r="C117" s="72"/>
      <c r="D117" s="72"/>
      <c r="E117" s="72"/>
      <c r="F117" s="72"/>
      <c r="G117" s="72"/>
      <c r="H117" s="72"/>
      <c r="I117" s="72"/>
    </row>
    <row r="118" spans="2:9">
      <c r="B118" s="71"/>
      <c r="C118" s="72"/>
      <c r="D118" s="72"/>
      <c r="E118" s="72"/>
      <c r="F118" s="72"/>
      <c r="G118" s="72"/>
      <c r="H118" s="72"/>
      <c r="I118" s="72"/>
    </row>
    <row r="119" spans="2:9">
      <c r="B119" s="71"/>
      <c r="C119" s="72"/>
      <c r="D119" s="72"/>
      <c r="E119" s="72"/>
      <c r="F119" s="72"/>
      <c r="G119" s="72"/>
      <c r="H119" s="72"/>
      <c r="I119" s="72"/>
    </row>
    <row r="120" spans="2:9">
      <c r="B120" s="71"/>
      <c r="C120" s="72"/>
      <c r="D120" s="72"/>
      <c r="E120" s="72"/>
      <c r="F120" s="72"/>
      <c r="G120" s="72"/>
      <c r="H120" s="72"/>
      <c r="I120" s="72"/>
    </row>
    <row r="121" spans="2:9">
      <c r="B121" s="71"/>
      <c r="C121" s="72"/>
      <c r="D121" s="72"/>
      <c r="E121" s="72"/>
      <c r="F121" s="72"/>
      <c r="G121" s="72"/>
      <c r="H121" s="72"/>
      <c r="I121" s="72"/>
    </row>
    <row r="122" spans="2:9">
      <c r="B122" s="71"/>
      <c r="C122" s="72"/>
      <c r="D122" s="72"/>
      <c r="E122" s="72"/>
      <c r="F122" s="72"/>
      <c r="G122" s="72"/>
      <c r="H122" s="72"/>
      <c r="I122" s="72"/>
    </row>
    <row r="125" spans="2:9">
      <c r="B125" s="154"/>
    </row>
  </sheetData>
  <sheetProtection sheet="1" insertRows="0" deleteRows="0"/>
  <mergeCells count="13">
    <mergeCell ref="B88:H88"/>
    <mergeCell ref="B89:H89"/>
    <mergeCell ref="B94:I94"/>
    <mergeCell ref="B85:I85"/>
    <mergeCell ref="B74:H74"/>
    <mergeCell ref="B75:H75"/>
    <mergeCell ref="B72:I72"/>
    <mergeCell ref="C1:K1"/>
    <mergeCell ref="B61:H61"/>
    <mergeCell ref="B62:H62"/>
    <mergeCell ref="B3:J3"/>
    <mergeCell ref="B4:J4"/>
    <mergeCell ref="B59:J59"/>
  </mergeCells>
  <conditionalFormatting sqref="B8:J19">
    <cfRule type="expression" dxfId="15" priority="21">
      <formula>#REF!</formula>
    </cfRule>
  </conditionalFormatting>
  <conditionalFormatting sqref="B23:J48">
    <cfRule type="expression" dxfId="14" priority="20">
      <formula>#REF!</formula>
    </cfRule>
  </conditionalFormatting>
  <conditionalFormatting sqref="E57">
    <cfRule type="cellIs" dxfId="13" priority="2" operator="lessThan">
      <formula>-9528</formula>
    </cfRule>
  </conditionalFormatting>
  <conditionalFormatting sqref="E91:I93">
    <cfRule type="cellIs" dxfId="12" priority="1" operator="notEqual">
      <formula>0</formula>
    </cfRule>
  </conditionalFormatting>
  <conditionalFormatting sqref="F57">
    <cfRule type="cellIs" dxfId="11" priority="14" operator="lessThan">
      <formula>-5695</formula>
    </cfRule>
  </conditionalFormatting>
  <conditionalFormatting sqref="G57">
    <cfRule type="cellIs" dxfId="10" priority="13" operator="lessThan">
      <formula>-1500</formula>
    </cfRule>
  </conditionalFormatting>
  <conditionalFormatting sqref="H57:I57">
    <cfRule type="cellIs" dxfId="9" priority="7" operator="lessThan">
      <formula>0</formula>
    </cfRule>
  </conditionalFormatting>
  <conditionalFormatting sqref="N57">
    <cfRule type="cellIs" dxfId="8" priority="3" operator="equal">
      <formula>"La Loi sur l'équilibre budgétaire n'est pas respectée. Les soldes du plan de retour à l'équilibre budgétaire ne sont pas respectés"</formula>
    </cfRule>
    <cfRule type="cellIs" dxfId="7" priority="4" operator="equal">
      <formula>"La Loi sur l'équilibre budgétaire est respectée"</formula>
    </cfRule>
  </conditionalFormatting>
  <printOptions horizontalCentered="1"/>
  <pageMargins left="0.23622047244094491" right="0.23622047244094491" top="0.74803149606299213" bottom="0.86614173228346458" header="0.31496062992125984" footer="0.31496062992125984"/>
  <pageSetup scale="65" orientation="portrait" r:id="rId1"/>
  <headerFooter>
    <oddFooter>&amp;C
&amp;G&amp;RPage &amp;P de &amp;N</oddFooter>
  </headerFooter>
  <rowBreaks count="1" manualBreakCount="1">
    <brk id="60" max="16383" man="1"/>
  </row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19</vt:i4>
      </vt:variant>
    </vt:vector>
  </HeadingPairs>
  <TitlesOfParts>
    <vt:vector size="28" baseType="lpstr">
      <vt:lpstr>Introduction</vt:lpstr>
      <vt:lpstr>1_Economique</vt:lpstr>
      <vt:lpstr>2_C_Financier</vt:lpstr>
      <vt:lpstr>3-PQI</vt:lpstr>
      <vt:lpstr>4-LoiEquilibreBudgetaire</vt:lpstr>
      <vt:lpstr>5-AnalyseSensibilite</vt:lpstr>
      <vt:lpstr>6-Simulation</vt:lpstr>
      <vt:lpstr>7-ResulatsSimulation</vt:lpstr>
      <vt:lpstr>8-RevisionsCF_RPE</vt:lpstr>
      <vt:lpstr>'6-Simulation'!Impression_des_titres</vt:lpstr>
      <vt:lpstr>Postes_Bud_Revenus</vt:lpstr>
      <vt:lpstr>Principaux_portefeuilles</vt:lpstr>
      <vt:lpstr>Principaux_portefeuilles_PQI</vt:lpstr>
      <vt:lpstr>Sc_prevision</vt:lpstr>
      <vt:lpstr>Secteurs_PQI_OP</vt:lpstr>
      <vt:lpstr>Secteurs_PQI_OP_colonne1</vt:lpstr>
      <vt:lpstr>Secteurs_PQI_OP_colonne2</vt:lpstr>
      <vt:lpstr>Secteurs_PQI_OS</vt:lpstr>
      <vt:lpstr>Secteurs_PQI_OS_colonne1</vt:lpstr>
      <vt:lpstr>Secteurs_PQI_OS_colonne2</vt:lpstr>
      <vt:lpstr>Taux_interets</vt:lpstr>
      <vt:lpstr>'1_Economique'!Zone_d_impression</vt:lpstr>
      <vt:lpstr>'2_C_Financier'!Zone_d_impression</vt:lpstr>
      <vt:lpstr>'4-LoiEquilibreBudgetaire'!Zone_d_impression</vt:lpstr>
      <vt:lpstr>'5-AnalyseSensibilite'!Zone_d_impression</vt:lpstr>
      <vt:lpstr>'6-Simulation'!Zone_d_impression</vt:lpstr>
      <vt:lpstr>'7-ResulatsSimulation'!Zone_d_impression</vt:lpstr>
      <vt:lpstr>'8-RevisionsCF_RPE'!Zone_d_impression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Simulation du cadre financier</dc:title>
  <dc:subject>Base de données et simulation</dc:subject>
  <dc:creator>Plasse-Ferland, Alexis</dc:creator>
  <cp:keywords>Cadre financier consolidé, dépenses de missions, PQI, investissements, perspectives économiques, simulation budgétaire, engagements électoraux, dette</cp:keywords>
  <dc:description>Ce fichier contient le cadre financier, les dépenses de missions détaillées, les investissements du Plan québécois des infrastructures 2018-2028 et les perspectives économiques au Québec. Finalement il permet de faire une simulation budgétaire.
Note : Le Ministère ne garantit pas l’exactitude des données en format Excel lorsque celles-ci sont téléchargées ou modifiées de quelque manière que ce soit.</dc:description>
  <cp:lastModifiedBy>Bourassa, France</cp:lastModifiedBy>
  <cp:lastPrinted>2026-08-05T19:15:06Z</cp:lastPrinted>
  <dcterms:created xsi:type="dcterms:W3CDTF">2018-08-14T13:58:29Z</dcterms:created>
  <dcterms:modified xsi:type="dcterms:W3CDTF">2026-08-17T19:22:15Z</dcterms:modified>
  <cp:category>Rapport préélectoral sur l'état des finances publiques - Août 2018</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