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nancesquebec-my.sharepoint.com/personal/france_bourassa_finances_gouv_qc_ca/Documents/Bureau/Dépôt temporaire/"/>
    </mc:Choice>
  </mc:AlternateContent>
  <xr:revisionPtr revIDLastSave="0" documentId="8_{229F83FC-B5FF-4DE5-819F-5A5CB8248A87}" xr6:coauthVersionLast="47" xr6:coauthVersionMax="47" xr10:uidLastSave="{00000000-0000-0000-0000-000000000000}"/>
  <bookViews>
    <workbookView xWindow="0" yWindow="375" windowWidth="19305" windowHeight="11175" activeTab="1" xr2:uid="{E72EE58D-4E86-4281-AC95-6AD7782E87AA}"/>
  </bookViews>
  <sheets>
    <sheet name="RevenusEcofiscaux" sheetId="1" r:id="rId1"/>
    <sheet name="DepensesEcofiscales" sheetId="4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26" i="1" s="1"/>
  <c r="O7" i="1"/>
  <c r="R45" i="4"/>
  <c r="R33" i="4" s="1"/>
  <c r="Q45" i="4"/>
  <c r="Q33" i="4" s="1"/>
  <c r="P45" i="4"/>
  <c r="P33" i="4" s="1"/>
  <c r="R29" i="4"/>
  <c r="Q29" i="4"/>
  <c r="P29" i="4"/>
  <c r="R27" i="4"/>
  <c r="Q27" i="4"/>
  <c r="P27" i="4"/>
  <c r="N27" i="4"/>
  <c r="Q22" i="4"/>
  <c r="R22" i="4"/>
  <c r="P22" i="4"/>
  <c r="P49" i="4" s="1"/>
  <c r="P23" i="1"/>
  <c r="Q23" i="1"/>
  <c r="O23" i="1"/>
  <c r="P18" i="1"/>
  <c r="Q18" i="1"/>
  <c r="P9" i="1"/>
  <c r="Q9" i="1"/>
  <c r="O9" i="1"/>
  <c r="N9" i="1"/>
  <c r="M16" i="1"/>
  <c r="N16" i="1"/>
  <c r="O16" i="1"/>
  <c r="P16" i="1"/>
  <c r="Q16" i="1"/>
  <c r="Q7" i="1"/>
  <c r="P7" i="1"/>
  <c r="Q5" i="1"/>
  <c r="P5" i="1"/>
  <c r="O22" i="1"/>
  <c r="O18" i="1" s="1"/>
  <c r="N22" i="1"/>
  <c r="M22" i="1"/>
  <c r="L22" i="1"/>
  <c r="K22" i="1"/>
  <c r="J22" i="1"/>
  <c r="I22" i="1"/>
  <c r="H22" i="1"/>
  <c r="G22" i="1"/>
  <c r="F22" i="1"/>
  <c r="E22" i="1"/>
  <c r="D22" i="1"/>
  <c r="P26" i="1" l="1"/>
  <c r="R49" i="4"/>
  <c r="Q49" i="4"/>
  <c r="Q26" i="1"/>
  <c r="J19" i="1"/>
  <c r="L16" i="1" l="1"/>
  <c r="I9" i="1"/>
  <c r="K45" i="4" l="1"/>
  <c r="K33" i="4" s="1"/>
  <c r="J45" i="4"/>
  <c r="J33" i="4" s="1"/>
  <c r="I45" i="4"/>
  <c r="I33" i="4" s="1"/>
  <c r="N29" i="4"/>
  <c r="C49" i="4"/>
  <c r="D49" i="4"/>
  <c r="E49" i="4"/>
  <c r="B49" i="4"/>
  <c r="G29" i="4"/>
  <c r="G49" i="4" s="1"/>
  <c r="H29" i="4"/>
  <c r="H49" i="4" s="1"/>
  <c r="I29" i="4"/>
  <c r="J29" i="4"/>
  <c r="K29" i="4"/>
  <c r="L29" i="4"/>
  <c r="M29" i="4"/>
  <c r="F29" i="4"/>
  <c r="F49" i="4" s="1"/>
  <c r="N45" i="4"/>
  <c r="N33" i="4" s="1"/>
  <c r="J5" i="1"/>
  <c r="K5" i="1"/>
  <c r="L5" i="1"/>
  <c r="M5" i="1"/>
  <c r="N5" i="1"/>
  <c r="I5" i="1"/>
  <c r="N7" i="1"/>
  <c r="C7" i="1"/>
  <c r="D7" i="1"/>
  <c r="E7" i="1"/>
  <c r="F7" i="1"/>
  <c r="G7" i="1"/>
  <c r="H7" i="1"/>
  <c r="I7" i="1"/>
  <c r="J7" i="1"/>
  <c r="K7" i="1"/>
  <c r="L7" i="1"/>
  <c r="M7" i="1"/>
  <c r="B7" i="1"/>
  <c r="C23" i="1"/>
  <c r="D23" i="1"/>
  <c r="E23" i="1"/>
  <c r="F23" i="1"/>
  <c r="G23" i="1"/>
  <c r="H23" i="1"/>
  <c r="I23" i="1"/>
  <c r="J23" i="1"/>
  <c r="K23" i="1"/>
  <c r="L23" i="1"/>
  <c r="M23" i="1"/>
  <c r="N23" i="1"/>
  <c r="B23" i="1"/>
  <c r="F9" i="1"/>
  <c r="G9" i="1"/>
  <c r="H9" i="1"/>
  <c r="J9" i="1"/>
  <c r="K9" i="1"/>
  <c r="L9" i="1"/>
  <c r="M9" i="1"/>
  <c r="E9" i="1"/>
  <c r="D9" i="1"/>
  <c r="C9" i="1"/>
  <c r="B9" i="1"/>
  <c r="M46" i="4"/>
  <c r="M45" i="4" s="1"/>
  <c r="L46" i="4"/>
  <c r="L45" i="4" s="1"/>
  <c r="L33" i="4" s="1"/>
  <c r="Q18" i="4"/>
  <c r="Q17" i="4"/>
  <c r="Q16" i="4"/>
  <c r="Q15" i="4"/>
  <c r="Q14" i="4"/>
  <c r="Q13" i="4"/>
  <c r="Q12" i="4"/>
  <c r="Q11" i="4"/>
  <c r="Q10" i="4"/>
  <c r="M9" i="4"/>
  <c r="L9" i="4"/>
  <c r="K9" i="4"/>
  <c r="J9" i="4"/>
  <c r="I9" i="4"/>
  <c r="H9" i="4"/>
  <c r="N8" i="4"/>
  <c r="N19" i="4" s="1"/>
  <c r="M8" i="4"/>
  <c r="L8" i="4"/>
  <c r="K8" i="4"/>
  <c r="J8" i="4"/>
  <c r="I8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19" i="1"/>
  <c r="H18" i="1" s="1"/>
  <c r="N20" i="1"/>
  <c r="N18" i="1" s="1"/>
  <c r="M20" i="1"/>
  <c r="L20" i="1"/>
  <c r="L18" i="1" s="1"/>
  <c r="K20" i="1"/>
  <c r="J20" i="1"/>
  <c r="I20" i="1"/>
  <c r="K17" i="1"/>
  <c r="K16" i="1" s="1"/>
  <c r="J17" i="1"/>
  <c r="J16" i="1" s="1"/>
  <c r="I17" i="1"/>
  <c r="I16" i="1" s="1"/>
  <c r="H17" i="1"/>
  <c r="H16" i="1" s="1"/>
  <c r="G17" i="1"/>
  <c r="G16" i="1" s="1"/>
  <c r="F17" i="1"/>
  <c r="F16" i="1" s="1"/>
  <c r="E17" i="1"/>
  <c r="E16" i="1" s="1"/>
  <c r="D17" i="1"/>
  <c r="D16" i="1" s="1"/>
  <c r="C17" i="1"/>
  <c r="C16" i="1" s="1"/>
  <c r="B17" i="1"/>
  <c r="G18" i="1"/>
  <c r="F18" i="1"/>
  <c r="E18" i="1"/>
  <c r="D18" i="1"/>
  <c r="C22" i="1"/>
  <c r="C18" i="1" s="1"/>
  <c r="B22" i="1"/>
  <c r="B18" i="1" s="1"/>
  <c r="M18" i="1" l="1"/>
  <c r="M26" i="1" s="1"/>
  <c r="B16" i="1"/>
  <c r="J49" i="4"/>
  <c r="I18" i="1"/>
  <c r="I26" i="1" s="1"/>
  <c r="G26" i="1"/>
  <c r="F26" i="1"/>
  <c r="L26" i="1"/>
  <c r="J18" i="1"/>
  <c r="J26" i="1" s="1"/>
  <c r="E26" i="1"/>
  <c r="K18" i="1"/>
  <c r="K26" i="1" s="1"/>
  <c r="D26" i="1"/>
  <c r="C26" i="1"/>
  <c r="H26" i="1"/>
  <c r="N26" i="1"/>
  <c r="L49" i="4"/>
  <c r="N49" i="4"/>
  <c r="M33" i="4"/>
  <c r="M49" i="4" s="1"/>
  <c r="K49" i="4"/>
  <c r="I49" i="4"/>
  <c r="E19" i="4"/>
  <c r="G19" i="4"/>
  <c r="M19" i="4"/>
  <c r="L19" i="4"/>
  <c r="H19" i="4"/>
  <c r="I19" i="4"/>
  <c r="B19" i="4"/>
  <c r="F19" i="4"/>
  <c r="Q9" i="4"/>
  <c r="Q8" i="4"/>
  <c r="J19" i="4"/>
  <c r="C19" i="4"/>
  <c r="K19" i="4"/>
  <c r="D19" i="4"/>
  <c r="Q5" i="4"/>
  <c r="Q6" i="4"/>
  <c r="B26" i="1" l="1"/>
  <c r="Q1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Prunet, Henricke</author>
  </authors>
  <commentList>
    <comment ref="K6" authorId="0" shapeId="0" xr:uid="{8C86A81D-1990-4599-A74F-A88473D48CC7}">
      <text>
        <r>
          <rPr>
            <b/>
            <sz val="9"/>
            <color indexed="81"/>
            <rFont val="Tahoma"/>
            <family val="2"/>
          </rPr>
          <t>Prunet, Henricke:</t>
        </r>
        <r>
          <rPr>
            <sz val="9"/>
            <color indexed="81"/>
            <rFont val="Tahoma"/>
            <family val="2"/>
          </rPr>
          <t xml:space="preserve">
n'intègre pas les 45 $ perçus sur l'Ïle de Montréal.</t>
        </r>
      </text>
    </comment>
    <comment ref="B13" authorId="0" shapeId="0" xr:uid="{85035546-ECD4-4911-926D-66A8A9D18E88}">
      <text>
        <r>
          <rPr>
            <b/>
            <sz val="9"/>
            <color indexed="81"/>
            <rFont val="Tahoma"/>
            <family val="2"/>
          </rPr>
          <t>Prunet, Henricke:</t>
        </r>
        <r>
          <rPr>
            <sz val="9"/>
            <color indexed="81"/>
            <rFont val="Tahoma"/>
            <family val="2"/>
          </rPr>
          <t xml:space="preserve">
Données non disponibles auprès du MELCC. À noter que les municipalités n'on été compensées à 100 % qu'à partir de 2013</t>
        </r>
      </text>
    </comment>
    <comment ref="P39" authorId="0" shapeId="0" xr:uid="{90557A07-D449-4055-9991-BE9D95B4D351}">
      <text>
        <r>
          <rPr>
            <b/>
            <sz val="9"/>
            <color indexed="81"/>
            <rFont val="Tahoma"/>
            <family val="2"/>
          </rPr>
          <t>Prunet, Henricke:</t>
        </r>
        <r>
          <rPr>
            <sz val="9"/>
            <color indexed="81"/>
            <rFont val="Tahoma"/>
            <family val="2"/>
          </rPr>
          <t xml:space="preserve">
à vérifier</t>
        </r>
      </text>
    </comment>
  </commentList>
</comments>
</file>

<file path=xl/sharedStrings.xml><?xml version="1.0" encoding="utf-8"?>
<sst xmlns="http://schemas.openxmlformats.org/spreadsheetml/2006/main" count="479" uniqueCount="100">
  <si>
    <t>(en millions de dollars)</t>
  </si>
  <si>
    <t>Mesures écofiscales / Revenus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</si>
  <si>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</si>
  <si>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</si>
  <si>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</si>
  <si>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</si>
  <si>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</si>
  <si>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</si>
  <si>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</si>
  <si>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</si>
  <si>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</si>
  <si>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 xml:space="preserve">2019-2020 </t>
  </si>
  <si>
    <t xml:space="preserve">2020-2021 </t>
  </si>
  <si>
    <t xml:space="preserve">2021-2022 </t>
  </si>
  <si>
    <t xml:space="preserve">2022-2023 </t>
  </si>
  <si>
    <t>2023-2024</t>
  </si>
  <si>
    <t>Total</t>
  </si>
  <si>
    <r>
      <t xml:space="preserve">Taxe sur les carburants </t>
    </r>
    <r>
      <rPr>
        <vertAlign val="superscript"/>
        <sz val="10"/>
        <color theme="1"/>
        <rFont val="Arial"/>
        <family val="2"/>
      </rPr>
      <t>(1),(a)</t>
    </r>
  </si>
  <si>
    <r>
      <t xml:space="preserve">Contributions des automobilistes au transport en commun (30$) </t>
    </r>
    <r>
      <rPr>
        <vertAlign val="superscript"/>
        <sz val="10"/>
        <color theme="1"/>
        <rFont val="Arial"/>
        <family val="2"/>
      </rPr>
      <t>(1)</t>
    </r>
  </si>
  <si>
    <r>
      <t xml:space="preserve">Contributions des automobilistes au transport en commun Agglo Mtl (45 $) </t>
    </r>
    <r>
      <rPr>
        <vertAlign val="superscript"/>
        <sz val="10"/>
        <color theme="1"/>
        <rFont val="Arial"/>
        <family val="2"/>
      </rPr>
      <t xml:space="preserve">(1) </t>
    </r>
  </si>
  <si>
    <r>
      <t xml:space="preserve">Majorations de la taxe sur les  carburants  </t>
    </r>
    <r>
      <rPr>
        <vertAlign val="superscript"/>
        <sz val="10"/>
        <color theme="1"/>
        <rFont val="Arial"/>
        <family val="2"/>
      </rPr>
      <t>(2)</t>
    </r>
  </si>
  <si>
    <r>
      <t>Droit d’immatriculation additionnel et droit d’acquisition à l’égard des véhicules munis d’un moteur de forte cylindrée</t>
    </r>
    <r>
      <rPr>
        <vertAlign val="superscript"/>
        <sz val="10"/>
        <color theme="1"/>
        <rFont val="Arial"/>
        <family val="2"/>
      </rPr>
      <t xml:space="preserve"> (2)</t>
    </r>
  </si>
  <si>
    <r>
      <t xml:space="preserve">Système de plafonnement et d’échange de droits d’émissions  </t>
    </r>
    <r>
      <rPr>
        <vertAlign val="superscript"/>
        <sz val="10"/>
        <color theme="1"/>
        <rFont val="Arial"/>
        <family val="2"/>
      </rPr>
      <t>(2),(b)</t>
    </r>
  </si>
  <si>
    <t>s. o.</t>
  </si>
  <si>
    <r>
      <t>Droit spécifique sur les pneus neufs</t>
    </r>
    <r>
      <rPr>
        <vertAlign val="superscript"/>
        <sz val="10"/>
        <color theme="1"/>
        <rFont val="Arial"/>
        <family val="2"/>
      </rPr>
      <t xml:space="preserve"> (3)</t>
    </r>
  </si>
  <si>
    <t>Gestion des matières résiduelles</t>
  </si>
  <si>
    <r>
      <t xml:space="preserve">Responsabilité élargie des producteurs </t>
    </r>
    <r>
      <rPr>
        <vertAlign val="superscript"/>
        <sz val="10"/>
        <color theme="1"/>
        <rFont val="Arial"/>
        <family val="2"/>
      </rPr>
      <t>(4)</t>
    </r>
  </si>
  <si>
    <t>n.d.</t>
  </si>
  <si>
    <r>
      <t xml:space="preserve">Régime de compensation pour les services municipaux fournis en vue d'assurer la récupération et la valorisation des matières résiduelles </t>
    </r>
    <r>
      <rPr>
        <vertAlign val="superscript"/>
        <sz val="10"/>
        <color theme="1"/>
        <rFont val="Arial"/>
        <family val="2"/>
      </rPr>
      <t>(4)</t>
    </r>
  </si>
  <si>
    <r>
      <t xml:space="preserve">Redevances exigibles pour l’élimination des matières résiduelles </t>
    </r>
    <r>
      <rPr>
        <vertAlign val="superscript"/>
        <sz val="10"/>
        <color theme="1"/>
        <rFont val="Arial"/>
        <family val="2"/>
      </rPr>
      <t>(4),(c),(e)</t>
    </r>
  </si>
  <si>
    <t>Consigne publique et privée sur les bouteilles de bière et les contenants de boissons gazeuses</t>
  </si>
  <si>
    <r>
      <t xml:space="preserve">Droits annuels exigibles des titulaires d’une autorisation en milieu industriel </t>
    </r>
    <r>
      <rPr>
        <vertAlign val="superscript"/>
        <sz val="10"/>
        <color theme="1"/>
        <rFont val="Arial"/>
        <family val="2"/>
      </rPr>
      <t>(4),(f)</t>
    </r>
  </si>
  <si>
    <t>Conservation de la biodiversité</t>
  </si>
  <si>
    <r>
      <t>Redevances exigibles pour l’utilisation de l’eau</t>
    </r>
    <r>
      <rPr>
        <vertAlign val="superscript"/>
        <sz val="10"/>
        <color theme="1"/>
        <rFont val="Arial"/>
        <family val="2"/>
      </rPr>
      <t xml:space="preserve"> (4),(f)</t>
    </r>
  </si>
  <si>
    <r>
      <t xml:space="preserve">Régime de compensation pour l'atteinte aux milieux humides et hydriques </t>
    </r>
    <r>
      <rPr>
        <vertAlign val="superscript"/>
        <sz val="10"/>
        <color theme="1"/>
        <rFont val="Arial"/>
        <family val="2"/>
      </rPr>
      <t>(4),(d),(e)</t>
    </r>
  </si>
  <si>
    <t>Sous-Total - Revenus</t>
  </si>
  <si>
    <t>nd</t>
  </si>
  <si>
    <t>f</t>
  </si>
  <si>
    <t>na</t>
  </si>
  <si>
    <t>Péages</t>
  </si>
  <si>
    <t>Traversiers</t>
  </si>
  <si>
    <t>2020-2021</t>
  </si>
  <si>
    <t>2021-2022</t>
  </si>
  <si>
    <t>2022-2023</t>
  </si>
  <si>
    <t>TABLEAU Dépenses écofiscales</t>
  </si>
  <si>
    <t>TABLEAU Revenus écofiscaux</t>
  </si>
  <si>
    <t>Mobilité durable</t>
  </si>
  <si>
    <t>2019-2020</t>
  </si>
  <si>
    <t>Estimations</t>
  </si>
  <si>
    <t>Projections</t>
  </si>
  <si>
    <t>dc</t>
  </si>
  <si>
    <t>Déduction additionnelle pour amortissement permanente de 30 % (MESURE ABOLIE 1er janv 2024)</t>
  </si>
  <si>
    <r>
      <t>Crédit d'impôt remboursable pour la production de biodiesel au Québec</t>
    </r>
    <r>
      <rPr>
        <vertAlign val="superscript"/>
        <sz val="10"/>
        <color rgb="FFFF0000"/>
        <rFont val="Arial"/>
        <family val="2"/>
      </rPr>
      <t>(2) (5)</t>
    </r>
    <r>
      <rPr>
        <sz val="10"/>
        <color rgb="FFFF0000"/>
        <rFont val="Arial"/>
        <family val="2"/>
      </rPr>
      <t xml:space="preserve"> (MESURE ABOLIE 31 mars 2023)</t>
    </r>
  </si>
  <si>
    <r>
      <t>Crédit d’impôt remboursable pour la production d’éthanol au Québec</t>
    </r>
    <r>
      <rPr>
        <vertAlign val="superscript"/>
        <sz val="10"/>
        <color rgb="FFFF0000"/>
        <rFont val="Arial"/>
        <family val="2"/>
      </rPr>
      <t>(2) (5)</t>
    </r>
    <r>
      <rPr>
        <sz val="10"/>
        <color rgb="FFFF0000"/>
        <rFont val="Arial"/>
        <family val="2"/>
      </rPr>
      <t xml:space="preserve"> (MESURE ABOLIE 31 mars 2023)</t>
    </r>
  </si>
  <si>
    <r>
      <t>Crédit d’impôt remboursable pour la production d’éthanol cellulosique au Québec</t>
    </r>
    <r>
      <rPr>
        <vertAlign val="superscript"/>
        <sz val="10"/>
        <color rgb="FFFF0000"/>
        <rFont val="Arial"/>
        <family val="2"/>
      </rPr>
      <t>(2) (5)</t>
    </r>
    <r>
      <rPr>
        <sz val="10"/>
        <color rgb="FFFF0000"/>
        <rFont val="Arial"/>
        <family val="2"/>
      </rPr>
      <t xml:space="preserve"> (MESURE ABOLIE 31 mars 2023)</t>
    </r>
  </si>
  <si>
    <t>2024-2025</t>
  </si>
  <si>
    <t>2025-2026</t>
  </si>
  <si>
    <t>S. o.</t>
  </si>
  <si>
    <r>
      <t>2025-2026</t>
    </r>
    <r>
      <rPr>
        <b/>
        <vertAlign val="superscript"/>
        <sz val="11"/>
        <color theme="1"/>
        <rFont val="Arial"/>
        <family val="2"/>
      </rPr>
      <t>P</t>
    </r>
  </si>
  <si>
    <r>
      <t>Redevances exigibles pour l’utilisation de l’eau</t>
    </r>
    <r>
      <rPr>
        <vertAlign val="superscript"/>
        <sz val="10"/>
        <color theme="1"/>
        <rFont val="Arial"/>
        <family val="2"/>
      </rPr>
      <t>(4)</t>
    </r>
  </si>
  <si>
    <r>
      <t>Droit spécifique sur les pneus neufs</t>
    </r>
    <r>
      <rPr>
        <vertAlign val="superscript"/>
        <sz val="10"/>
        <color theme="1"/>
        <rFont val="Arial"/>
        <family val="2"/>
      </rPr>
      <t>(3)</t>
    </r>
  </si>
  <si>
    <r>
      <t>Taxe sur les carburants</t>
    </r>
    <r>
      <rPr>
        <vertAlign val="superscript"/>
        <sz val="10"/>
        <color theme="1"/>
        <rFont val="Arial"/>
        <family val="2"/>
      </rPr>
      <t>(1)</t>
    </r>
  </si>
  <si>
    <t>Gestion de l’eau</t>
  </si>
  <si>
    <t>Qualité de l’air et du climat</t>
  </si>
  <si>
    <t>Qualité de l’environnement</t>
  </si>
  <si>
    <t>Revenus réels provenant des mesures écofiscales</t>
  </si>
  <si>
    <r>
      <t>Régime de compensation pour l’atteinte aux milieux
humides et hydriques</t>
    </r>
    <r>
      <rPr>
        <vertAlign val="superscript"/>
        <sz val="10"/>
        <color theme="1"/>
        <rFont val="Arial"/>
        <family val="2"/>
      </rPr>
      <t>(4)</t>
    </r>
  </si>
  <si>
    <t>Consigne publique et privée sur les bouteilles
de bière et les contenants de boissons gazeuses</t>
  </si>
  <si>
    <r>
      <t>Récupération et la valorisation de produits
par les entreprises</t>
    </r>
    <r>
      <rPr>
        <vertAlign val="superscript"/>
        <sz val="10"/>
        <color theme="1"/>
        <rFont val="Arial"/>
        <family val="2"/>
      </rPr>
      <t>(4)</t>
    </r>
  </si>
  <si>
    <r>
      <t>Redevances exigibles pour l’élimination
des matières résiduelles</t>
    </r>
    <r>
      <rPr>
        <vertAlign val="superscript"/>
        <sz val="10"/>
        <color theme="1"/>
        <rFont val="Arial"/>
        <family val="2"/>
      </rPr>
      <t>(4)</t>
    </r>
  </si>
  <si>
    <r>
      <t>Régime de compensation pour les services
municipaux fournis en vue d’assurer la récupération
et la valorisation des matières résiduelles</t>
    </r>
    <r>
      <rPr>
        <vertAlign val="superscript"/>
        <sz val="10"/>
        <color theme="1"/>
        <rFont val="Arial"/>
        <family val="2"/>
      </rPr>
      <t>(4)</t>
    </r>
  </si>
  <si>
    <r>
      <t>Contributions des automobilistes au transport
en commun (30$)</t>
    </r>
    <r>
      <rPr>
        <vertAlign val="superscript"/>
        <sz val="10"/>
        <color theme="1"/>
        <rFont val="Arial"/>
        <family val="2"/>
      </rPr>
      <t>(1)</t>
    </r>
  </si>
  <si>
    <r>
      <t>Droit d’immatriculation additionnel et droit
d’acquisition à l’égard des véhicules munis
d’un moteur de forte cylindrée</t>
    </r>
    <r>
      <rPr>
        <vertAlign val="superscript"/>
        <sz val="10"/>
        <color theme="1"/>
        <rFont val="Arial"/>
        <family val="2"/>
      </rPr>
      <t>(2)</t>
    </r>
  </si>
  <si>
    <r>
      <t>Majoration de la taxe sur les carburants</t>
    </r>
    <r>
      <rPr>
        <vertAlign val="superscript"/>
        <sz val="10"/>
        <color theme="1"/>
        <rFont val="Arial"/>
        <family val="2"/>
      </rPr>
      <t>(2)</t>
    </r>
  </si>
  <si>
    <r>
      <t>Système de plafonnement et d’échange de droits
d’émission de gaz à effet de serre</t>
    </r>
    <r>
      <rPr>
        <vertAlign val="superscript"/>
        <sz val="10"/>
        <color theme="1"/>
        <rFont val="Arial"/>
        <family val="2"/>
      </rPr>
      <t>(2)</t>
    </r>
  </si>
  <si>
    <r>
      <t>Redevances favorisant le traitement et la valorisation
des sols contaminés excavés</t>
    </r>
    <r>
      <rPr>
        <vertAlign val="superscript"/>
        <sz val="10"/>
        <color theme="1"/>
        <rFont val="Arial"/>
        <family val="2"/>
      </rPr>
      <t>(4)</t>
    </r>
  </si>
  <si>
    <r>
      <t>Droits annuels exigibles des titulaires
d’une autorisation en milieu industriel</t>
    </r>
    <r>
      <rPr>
        <vertAlign val="superscript"/>
        <sz val="10"/>
        <color theme="1"/>
        <rFont val="Arial"/>
        <family val="2"/>
      </rPr>
      <t>(4)</t>
    </r>
  </si>
  <si>
    <t>TOTAL – REVENUS ÉCOFISCAUX</t>
  </si>
  <si>
    <r>
      <t>Participation financière des producteurs
– collecte sélective modernisée</t>
    </r>
    <r>
      <rPr>
        <vertAlign val="superscript"/>
        <sz val="10"/>
        <color theme="1"/>
        <rFont val="Arial"/>
        <family val="2"/>
      </rPr>
      <t>(4)</t>
    </r>
  </si>
  <si>
    <r>
      <t>Remboursement de la taxe sur les carburants à l’égard du biodiesel</t>
    </r>
    <r>
      <rPr>
        <vertAlign val="superscript"/>
        <sz val="10"/>
        <color rgb="FFFF0000"/>
        <rFont val="Arial"/>
        <family val="2"/>
      </rPr>
      <t>(2) (5)</t>
    </r>
    <r>
      <rPr>
        <sz val="10"/>
        <color rgb="FFFF0000"/>
        <rFont val="Arial"/>
        <family val="2"/>
      </rPr>
      <t>- ABOLIE 26 mars 2025</t>
    </r>
  </si>
  <si>
    <t>Dépenses provenant des mesures écofiscales</t>
  </si>
  <si>
    <t>TOTAL – DÉPENSES ÉCOFISCALES</t>
  </si>
  <si>
    <t>S. o. : Sans objet.
nd : Non disponible.
P : Prévision.
Sources : (1) Ministère des Transports et de la Mobilité durable, (2) Ministère des Finances du Québec, (3) RECYC-QUÉBEC et (4) Ministère de l’Environnement, de la Lutte contre les changements climatiques, de la Faune et des Parcs.</t>
  </si>
  <si>
    <t>P : Prévision.
— : La mesure ne s’applique pas lors de cette année.
S. o. : Sans objet.
f : Le coût fiscal est inférieur à 0,5 M$.
na : Non applicable.
nd : Le coût fiscal n’est pas disponible en raison de données induffisantes ou manquantes.
dc : Les données sont confidentielles en raison du faible nombre de sociétés bénéficiaires. Pour qu’aucune déduction de ces montants ne soit possible, quelques cellules supplémentaires sont aussi masquées.
Sources : (1) Ministère des Transports et de la Mobilité durable, (2) Ministère des Finances du Québec, (3) RECYC-QUÉBEC et (4) Ministère de l’Environnement, de la Lutte contre les changements climatiques, de la Faune et des Parcs.
(5) : Les dépenses de ces mesures s’établissent durant des années civiles. Par exemple, l’année 2023-2024 correspond à l’année civile 2024.</t>
  </si>
  <si>
    <r>
      <t>Crédit d’impôt relatif à l’impôt payé par une fiducie
pour l’environnement</t>
    </r>
    <r>
      <rPr>
        <vertAlign val="superscript"/>
        <sz val="10"/>
        <color theme="1"/>
        <rFont val="Arial"/>
        <family val="2"/>
      </rPr>
      <t>(2),(5)</t>
    </r>
  </si>
  <si>
    <r>
      <t>Visa fiscal et Programme des dons écologiques</t>
    </r>
    <r>
      <rPr>
        <vertAlign val="superscript"/>
        <sz val="10"/>
        <color theme="1"/>
        <rFont val="Arial"/>
        <family val="2"/>
      </rPr>
      <t>(4)</t>
    </r>
  </si>
  <si>
    <t>Exemption de taxes municipales et scolaires
pour les réserves naturelles en milieu privé</t>
  </si>
  <si>
    <r>
      <t>Déduction des contributions à une fiducie
pour l’environnement</t>
    </r>
    <r>
      <rPr>
        <vertAlign val="superscript"/>
        <sz val="10"/>
        <color theme="1"/>
        <rFont val="Arial"/>
        <family val="2"/>
      </rPr>
      <t>(2),(5)</t>
    </r>
  </si>
  <si>
    <r>
      <t>Crédit d’impôt remboursable pour la mise
aux normes d’installations d’assainissement
des eaux usées résidentielles</t>
    </r>
    <r>
      <rPr>
        <vertAlign val="superscript"/>
        <sz val="10"/>
        <color theme="1"/>
        <rFont val="Arial"/>
        <family val="2"/>
      </rPr>
      <t>(2),(5)</t>
    </r>
  </si>
  <si>
    <r>
      <t>Déduction additionnelle de 100 % dans le calcul
du revenu de l’employeur pour le transport
en commun</t>
    </r>
    <r>
      <rPr>
        <vertAlign val="superscript"/>
        <sz val="10"/>
        <color theme="1"/>
        <rFont val="Arial"/>
        <family val="2"/>
      </rPr>
      <t>(2),(5)</t>
    </r>
  </si>
  <si>
    <r>
      <t>Non‑imposition des avantages accordés
aux employés</t>
    </r>
    <r>
      <rPr>
        <vertAlign val="superscript"/>
        <sz val="10"/>
        <color theme="1"/>
        <rFont val="Arial"/>
        <family val="2"/>
      </rPr>
      <t>(2),(5)</t>
    </r>
  </si>
  <si>
    <r>
      <t>Remboursement de la taxe sur les carburants
accordé aux transporteurs en commun</t>
    </r>
    <r>
      <rPr>
        <vertAlign val="superscript"/>
        <sz val="10"/>
        <color theme="1"/>
        <rFont val="Arial"/>
        <family val="2"/>
      </rPr>
      <t>(2),(5)</t>
    </r>
  </si>
  <si>
    <r>
      <t>Augmentation à 100 % du taux de la déduction
pour amortissement pour certains biens
et amortissement bonifié</t>
    </r>
    <r>
      <rPr>
        <vertAlign val="superscript"/>
        <sz val="10"/>
        <color theme="1"/>
        <rFont val="Arial"/>
        <family val="2"/>
      </rPr>
      <t>(5)</t>
    </r>
  </si>
  <si>
    <r>
      <t>Gratuité des traversiers et des péages
pour les véhicules munis d’une plaque
d’immatriculation verte</t>
    </r>
    <r>
      <rPr>
        <vertAlign val="superscript"/>
        <sz val="10"/>
        <color theme="1"/>
        <rFont val="Arial"/>
        <family val="2"/>
      </rPr>
      <t>(1)</t>
    </r>
  </si>
  <si>
    <r>
      <t>Crédit d’impôt remboursable pour la production
d’huile pyrolytique au Québec</t>
    </r>
    <r>
      <rPr>
        <vertAlign val="superscript"/>
        <sz val="10"/>
        <color theme="1"/>
        <rFont val="Arial"/>
        <family val="2"/>
      </rPr>
      <t>(2),(5)</t>
    </r>
  </si>
  <si>
    <r>
      <t>Crédit d’impôt remboursable pour la production
de biocarburants au Québec</t>
    </r>
    <r>
      <rPr>
        <vertAlign val="superscript"/>
        <sz val="10"/>
        <color theme="1"/>
        <rFont val="Arial"/>
        <family val="2"/>
      </rPr>
      <t>(2),(5)</t>
    </r>
  </si>
  <si>
    <r>
      <t>Augmentation du taux de déduction pour
amortissement à 100 % pour les véhicules
zéro émission</t>
    </r>
    <r>
      <rPr>
        <vertAlign val="superscript"/>
        <sz val="10"/>
        <color theme="1"/>
        <rFont val="Arial"/>
        <family val="2"/>
      </rPr>
      <t>(5)</t>
    </r>
  </si>
  <si>
    <r>
      <t>Crédit d’impôt remboursable relatif
aux ressources</t>
    </r>
    <r>
      <rPr>
        <vertAlign val="superscript"/>
        <sz val="10"/>
        <color theme="1"/>
        <rFont val="Arial"/>
        <family val="2"/>
      </rPr>
      <t>(2),(5)</t>
    </r>
  </si>
  <si>
    <t>Exemption du droit d’immatriculation additionnel
pour les véhicules de luxe applicable aux véhicules
électriques d’une valeur de 75 000 $ et moins</t>
  </si>
  <si>
    <r>
      <t>Actions accréditives/déduction de base de 100 %
des frais canadiens d’exploration, des frais canadiens
de mise en valeur et des frais à l’égard de biens
canadiens relatifs au pétrole et au gaz</t>
    </r>
    <r>
      <rPr>
        <vertAlign val="superscript"/>
        <sz val="10"/>
        <color theme="1"/>
        <rFont val="Arial"/>
        <family val="2"/>
      </rPr>
      <t>(2),(5)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</si>
</sst>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;\–#,##0"/>
    <numFmt numFmtId="166" formatCode="#,##0.0;\–#,##0.0"/>
    <numFmt numFmtId="167" formatCode="[=0]\—;\–#,##0;#,##0"/>
    <numFmt numFmtId="168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10"/>
      <color rgb="FFFF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 applyProtection="1">
      <alignment vertical="top"/>
      <protection locked="0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1" xfId="0" applyBorder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165" fontId="4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166" fontId="4" fillId="2" borderId="0" xfId="0" applyNumberFormat="1" applyFont="1" applyFill="1" applyAlignment="1">
      <alignment wrapText="1"/>
    </xf>
    <xf numFmtId="166" fontId="6" fillId="0" borderId="0" xfId="0" applyNumberFormat="1" applyFont="1" applyAlignment="1">
      <alignment wrapText="1"/>
    </xf>
    <xf numFmtId="166" fontId="4" fillId="0" borderId="0" xfId="0" applyNumberFormat="1" applyFont="1" applyAlignment="1">
      <alignment horizontal="right" wrapText="1"/>
    </xf>
    <xf numFmtId="166" fontId="4" fillId="3" borderId="0" xfId="0" applyNumberFormat="1" applyFont="1" applyFill="1" applyAlignment="1">
      <alignment wrapText="1"/>
    </xf>
    <xf numFmtId="166" fontId="7" fillId="0" borderId="4" xfId="0" applyNumberFormat="1" applyFont="1" applyBorder="1" applyAlignment="1">
      <alignment wrapText="1"/>
    </xf>
    <xf numFmtId="166" fontId="7" fillId="0" borderId="0" xfId="0" applyNumberFormat="1" applyFont="1" applyAlignment="1">
      <alignment wrapText="1"/>
    </xf>
    <xf numFmtId="0" fontId="9" fillId="0" borderId="0" xfId="0" applyFont="1"/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14" fillId="0" borderId="0" xfId="0" applyFont="1"/>
    <xf numFmtId="0" fontId="3" fillId="0" borderId="2" xfId="0" applyFont="1" applyBorder="1" applyAlignment="1">
      <alignment horizontal="center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165" fontId="7" fillId="0" borderId="0" xfId="0" quotePrefix="1" applyNumberFormat="1" applyFont="1" applyAlignment="1">
      <alignment wrapText="1"/>
    </xf>
    <xf numFmtId="165" fontId="4" fillId="0" borderId="0" xfId="0" quotePrefix="1" applyNumberFormat="1" applyFont="1" applyAlignment="1">
      <alignment wrapText="1"/>
    </xf>
    <xf numFmtId="165" fontId="7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67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166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wrapText="1"/>
    </xf>
    <xf numFmtId="0" fontId="15" fillId="0" borderId="0" xfId="0" applyFont="1" applyAlignment="1">
      <alignment horizontal="right"/>
    </xf>
    <xf numFmtId="165" fontId="17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65" fontId="8" fillId="0" borderId="5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q03gd\data03gd\DGRI\DPLA\Base_de_donnees_projet\Transport\FORT\Historique_2104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q03gd\data03gd\DGRI\DPLA\Base_de_donnees_projet\Transport\Contribution%20des%20automobilistes\Historique_CATC_2104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el_CATC"/>
      <sheetName val="Réel_Carburants"/>
    </sheetNames>
    <sheetDataSet>
      <sheetData sheetId="0" refreshError="1"/>
      <sheetData sheetId="1" refreshError="1">
        <row r="4">
          <cell r="B4">
            <v>1832.8</v>
          </cell>
          <cell r="C4">
            <v>1948.4</v>
          </cell>
          <cell r="D4">
            <v>2030.6</v>
          </cell>
          <cell r="E4">
            <v>2192.9</v>
          </cell>
          <cell r="F4">
            <v>2105.6</v>
          </cell>
          <cell r="G4">
            <v>2191</v>
          </cell>
          <cell r="H4">
            <v>2224.4</v>
          </cell>
          <cell r="I4">
            <v>2200.5500000000002</v>
          </cell>
          <cell r="J4">
            <v>2230.2399999999998</v>
          </cell>
          <cell r="K4">
            <v>2189.4499999999998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el"/>
    </sheetNames>
    <sheetDataSet>
      <sheetData sheetId="0">
        <row r="4">
          <cell r="B4">
            <v>77.2</v>
          </cell>
          <cell r="C4">
            <v>78.7</v>
          </cell>
          <cell r="D4">
            <v>79</v>
          </cell>
          <cell r="E4">
            <v>80.900000000000006</v>
          </cell>
          <cell r="F4">
            <v>81.8</v>
          </cell>
          <cell r="G4">
            <v>82.6</v>
          </cell>
          <cell r="H4">
            <v>84.1</v>
          </cell>
          <cell r="I4">
            <v>85.5</v>
          </cell>
          <cell r="J4">
            <v>85.95</v>
          </cell>
          <cell r="K4">
            <v>87.06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71D2-311E-482E-8F3E-D3797C4F1629}">
  <dimension ref="A1:Q317"/>
  <sheetViews>
    <sheetView showZeros="0" zoomScale="66" zoomScaleNormal="66" zoomScaleSheetLayoutView="50" workbookViewId="0">
      <pane xSplit="1" ySplit="4" topLeftCell="B10" activePane="bottomRight" state="frozen"/>
      <selection pane="topRight" activeCell="E1" sqref="E1"/>
      <selection pane="bottomLeft" activeCell="A5" sqref="A5"/>
      <selection pane="bottomRight" activeCell="W19" sqref="W19"/>
    </sheetView>
  </sheetViews>
  <sheetFormatPr baseColWidth="10" defaultRowHeight="15" customHeight="1" x14ac:dyDescent="0.25"/>
  <cols>
    <col min="1" max="1" width="43.42578125" bestFit="1" customWidth="1"/>
    <col min="2" max="17" width="11.5703125" customWidth="1"/>
  </cols>
  <sheetData>
    <row r="1" spans="1:17" ht="15" customHeight="1" x14ac:dyDescent="0.25">
      <c r="A1" s="1" t="s">
        <v>45</v>
      </c>
      <c r="K1" s="2"/>
      <c r="L1" s="2"/>
    </row>
    <row r="2" spans="1:17" ht="15" customHeight="1" x14ac:dyDescent="0.25">
      <c r="A2" s="42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"/>
      <c r="N2" s="4"/>
      <c r="O2" s="4"/>
    </row>
    <row r="3" spans="1:17" ht="15" customHeight="1" thickBot="1" x14ac:dyDescent="0.3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6"/>
      <c r="Q3" s="6"/>
    </row>
    <row r="4" spans="1:17" ht="15" customHeight="1" x14ac:dyDescent="0.25">
      <c r="A4" s="29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19" t="s">
        <v>55</v>
      </c>
      <c r="Q4" s="19" t="s">
        <v>58</v>
      </c>
    </row>
    <row r="5" spans="1:17" x14ac:dyDescent="0.25">
      <c r="A5" s="28" t="s">
        <v>32</v>
      </c>
      <c r="B5" s="22" t="s">
        <v>57</v>
      </c>
      <c r="C5" s="22" t="s">
        <v>57</v>
      </c>
      <c r="D5" s="22" t="s">
        <v>57</v>
      </c>
      <c r="E5" s="22" t="s">
        <v>57</v>
      </c>
      <c r="F5" s="22" t="s">
        <v>57</v>
      </c>
      <c r="G5" s="22" t="s">
        <v>57</v>
      </c>
      <c r="H5" s="22" t="s">
        <v>57</v>
      </c>
      <c r="I5" s="23">
        <f>I6</f>
        <v>9.6999999999999993</v>
      </c>
      <c r="J5" s="23">
        <f t="shared" ref="J5:Q5" si="0">J6</f>
        <v>24.7</v>
      </c>
      <c r="K5" s="23">
        <f t="shared" si="0"/>
        <v>20.3</v>
      </c>
      <c r="L5" s="23">
        <f t="shared" si="0"/>
        <v>22.4</v>
      </c>
      <c r="M5" s="23">
        <f t="shared" si="0"/>
        <v>36.4</v>
      </c>
      <c r="N5" s="23">
        <f t="shared" si="0"/>
        <v>33</v>
      </c>
      <c r="O5" s="23">
        <f t="shared" si="0"/>
        <v>47</v>
      </c>
      <c r="P5" s="23">
        <f t="shared" si="0"/>
        <v>40.799999999999997</v>
      </c>
      <c r="Q5" s="23">
        <f t="shared" si="0"/>
        <v>49.8</v>
      </c>
    </row>
    <row r="6" spans="1:17" ht="40.5" x14ac:dyDescent="0.25">
      <c r="A6" s="9" t="s">
        <v>66</v>
      </c>
      <c r="B6" s="13" t="s">
        <v>57</v>
      </c>
      <c r="C6" s="13" t="s">
        <v>57</v>
      </c>
      <c r="D6" s="13" t="s">
        <v>57</v>
      </c>
      <c r="E6" s="13" t="s">
        <v>57</v>
      </c>
      <c r="F6" s="13" t="s">
        <v>57</v>
      </c>
      <c r="G6" s="13" t="s">
        <v>57</v>
      </c>
      <c r="H6" s="13" t="s">
        <v>57</v>
      </c>
      <c r="I6" s="13">
        <v>9.6999999999999993</v>
      </c>
      <c r="J6" s="13">
        <v>24.7</v>
      </c>
      <c r="K6" s="13">
        <v>20.3</v>
      </c>
      <c r="L6" s="13">
        <v>22.4</v>
      </c>
      <c r="M6" s="13">
        <v>36.4</v>
      </c>
      <c r="N6" s="13">
        <v>33</v>
      </c>
      <c r="O6" s="13">
        <v>47</v>
      </c>
      <c r="P6" s="13">
        <v>40.799999999999997</v>
      </c>
      <c r="Q6" s="13">
        <v>49.8</v>
      </c>
    </row>
    <row r="7" spans="1:17" x14ac:dyDescent="0.25">
      <c r="A7" s="28" t="s">
        <v>62</v>
      </c>
      <c r="B7" s="23">
        <f>B8</f>
        <v>2.9</v>
      </c>
      <c r="C7" s="23">
        <f t="shared" ref="C7:M7" si="1">C8</f>
        <v>3.1</v>
      </c>
      <c r="D7" s="23">
        <f t="shared" si="1"/>
        <v>3.1</v>
      </c>
      <c r="E7" s="23">
        <f t="shared" si="1"/>
        <v>3</v>
      </c>
      <c r="F7" s="23">
        <f t="shared" si="1"/>
        <v>3.1</v>
      </c>
      <c r="G7" s="23">
        <f t="shared" si="1"/>
        <v>3.1</v>
      </c>
      <c r="H7" s="23">
        <f t="shared" si="1"/>
        <v>3</v>
      </c>
      <c r="I7" s="23">
        <f t="shared" si="1"/>
        <v>3.3</v>
      </c>
      <c r="J7" s="23">
        <f t="shared" si="1"/>
        <v>3.2</v>
      </c>
      <c r="K7" s="23">
        <f t="shared" si="1"/>
        <v>3</v>
      </c>
      <c r="L7" s="23">
        <f t="shared" si="1"/>
        <v>3</v>
      </c>
      <c r="M7" s="23">
        <f t="shared" si="1"/>
        <v>2.9</v>
      </c>
      <c r="N7" s="23">
        <f>N8</f>
        <v>3.3</v>
      </c>
      <c r="O7" s="23">
        <f>O8</f>
        <v>8.3000000000000007</v>
      </c>
      <c r="P7" s="23">
        <f>P8</f>
        <v>30</v>
      </c>
      <c r="Q7" s="23">
        <f>Q8</f>
        <v>30.1</v>
      </c>
    </row>
    <row r="8" spans="1:17" x14ac:dyDescent="0.25">
      <c r="A8" s="9" t="s">
        <v>59</v>
      </c>
      <c r="B8" s="13">
        <v>2.9</v>
      </c>
      <c r="C8" s="13">
        <v>3.1</v>
      </c>
      <c r="D8" s="13">
        <v>3.1</v>
      </c>
      <c r="E8" s="13">
        <v>3</v>
      </c>
      <c r="F8" s="13">
        <v>3.1</v>
      </c>
      <c r="G8" s="13">
        <v>3.1</v>
      </c>
      <c r="H8" s="13">
        <v>3</v>
      </c>
      <c r="I8" s="13">
        <v>3.3</v>
      </c>
      <c r="J8" s="13">
        <v>3.2</v>
      </c>
      <c r="K8" s="13">
        <v>3</v>
      </c>
      <c r="L8" s="13">
        <v>3</v>
      </c>
      <c r="M8" s="13">
        <v>2.9</v>
      </c>
      <c r="N8" s="13">
        <v>3.3</v>
      </c>
      <c r="O8" s="13">
        <v>8.3000000000000007</v>
      </c>
      <c r="P8" s="13">
        <v>30</v>
      </c>
      <c r="Q8" s="13">
        <v>30.1</v>
      </c>
    </row>
    <row r="9" spans="1:17" s="3" customFormat="1" x14ac:dyDescent="0.25">
      <c r="A9" s="28" t="s">
        <v>25</v>
      </c>
      <c r="B9" s="24">
        <f>B11+B13</f>
        <v>108.19999999999999</v>
      </c>
      <c r="C9" s="24">
        <f>C11+C13</f>
        <v>138.80000000000001</v>
      </c>
      <c r="D9" s="23">
        <f>D11+D13+D14</f>
        <v>260.39999999999998</v>
      </c>
      <c r="E9" s="23">
        <f>E11+E13+E14+E12</f>
        <v>347</v>
      </c>
      <c r="F9" s="23">
        <f>F11+F13+F14+F12</f>
        <v>344.8</v>
      </c>
      <c r="G9" s="23">
        <f>G11+G13+G14+G12</f>
        <v>327.10000000000002</v>
      </c>
      <c r="H9" s="23">
        <f>H11+H13+H14+H12</f>
        <v>344.9</v>
      </c>
      <c r="I9" s="23">
        <f>I12+I14+I13+I11</f>
        <v>350.84</v>
      </c>
      <c r="J9" s="23">
        <f t="shared" ref="J9:P9" si="2">J11+J13+J14+J12</f>
        <v>364.40000000000003</v>
      </c>
      <c r="K9" s="23">
        <f t="shared" si="2"/>
        <v>400.90000000000003</v>
      </c>
      <c r="L9" s="23">
        <f t="shared" si="2"/>
        <v>429.4</v>
      </c>
      <c r="M9" s="23">
        <f t="shared" si="2"/>
        <v>412.09999999999997</v>
      </c>
      <c r="N9" s="24">
        <f t="shared" si="2"/>
        <v>459.34</v>
      </c>
      <c r="O9" s="24">
        <f t="shared" si="2"/>
        <v>585.4</v>
      </c>
      <c r="P9" s="24">
        <f t="shared" si="2"/>
        <v>615.29999999999995</v>
      </c>
      <c r="Q9" s="24">
        <f>Q11+Q13+Q15+Q12</f>
        <v>794.80000000000007</v>
      </c>
    </row>
    <row r="10" spans="1:17" ht="30.95" customHeight="1" x14ac:dyDescent="0.25">
      <c r="A10" s="9" t="s">
        <v>67</v>
      </c>
      <c r="B10" s="26" t="s">
        <v>57</v>
      </c>
      <c r="C10" s="26" t="s">
        <v>57</v>
      </c>
      <c r="D10" s="26" t="s">
        <v>57</v>
      </c>
      <c r="E10" s="26" t="s">
        <v>57</v>
      </c>
      <c r="F10" s="26" t="s">
        <v>57</v>
      </c>
      <c r="G10" s="26" t="s">
        <v>57</v>
      </c>
      <c r="H10" s="26" t="s">
        <v>57</v>
      </c>
      <c r="I10" s="26" t="s">
        <v>57</v>
      </c>
      <c r="J10" s="26" t="s">
        <v>57</v>
      </c>
      <c r="K10" s="26" t="s">
        <v>57</v>
      </c>
      <c r="L10" s="26" t="s">
        <v>57</v>
      </c>
      <c r="M10" s="26" t="s">
        <v>57</v>
      </c>
      <c r="N10" s="26" t="s">
        <v>57</v>
      </c>
      <c r="O10" s="26" t="s">
        <v>57</v>
      </c>
      <c r="P10" s="26" t="s">
        <v>57</v>
      </c>
      <c r="Q10" s="26" t="s">
        <v>57</v>
      </c>
    </row>
    <row r="11" spans="1:17" x14ac:dyDescent="0.25">
      <c r="A11" s="9" t="s">
        <v>60</v>
      </c>
      <c r="B11" s="13">
        <v>23.1</v>
      </c>
      <c r="C11" s="13">
        <v>23.5</v>
      </c>
      <c r="D11" s="13">
        <v>22.7</v>
      </c>
      <c r="E11" s="13">
        <v>23.7</v>
      </c>
      <c r="F11" s="13">
        <v>24.3</v>
      </c>
      <c r="G11" s="13">
        <v>24.6</v>
      </c>
      <c r="H11" s="13">
        <v>25.2</v>
      </c>
      <c r="I11" s="13">
        <v>26.5</v>
      </c>
      <c r="J11" s="13">
        <v>26.7</v>
      </c>
      <c r="K11" s="13">
        <v>26.3</v>
      </c>
      <c r="L11" s="13">
        <v>25.4</v>
      </c>
      <c r="M11" s="13">
        <v>26.2</v>
      </c>
      <c r="N11" s="13">
        <v>24.6</v>
      </c>
      <c r="O11" s="13">
        <v>35.9</v>
      </c>
      <c r="P11" s="13">
        <v>41.2</v>
      </c>
      <c r="Q11" s="13">
        <v>43.6</v>
      </c>
    </row>
    <row r="12" spans="1:17" ht="27.75" x14ac:dyDescent="0.25">
      <c r="A12" s="9" t="s">
        <v>68</v>
      </c>
      <c r="B12" s="13" t="s">
        <v>36</v>
      </c>
      <c r="C12" s="13" t="s">
        <v>36</v>
      </c>
      <c r="D12" s="13" t="s">
        <v>36</v>
      </c>
      <c r="E12" s="13">
        <v>75.099999999999994</v>
      </c>
      <c r="F12" s="13">
        <v>73.2</v>
      </c>
      <c r="G12" s="13">
        <v>54.1</v>
      </c>
      <c r="H12" s="13">
        <v>48</v>
      </c>
      <c r="I12" s="13">
        <v>56.7</v>
      </c>
      <c r="J12" s="13">
        <v>57.3</v>
      </c>
      <c r="K12" s="13">
        <v>54.6</v>
      </c>
      <c r="L12" s="13">
        <v>57.6</v>
      </c>
      <c r="M12" s="13">
        <v>56.9</v>
      </c>
      <c r="N12" s="13">
        <v>71.8</v>
      </c>
      <c r="O12" s="13">
        <v>83.5</v>
      </c>
      <c r="P12" s="13">
        <v>88.3</v>
      </c>
      <c r="Q12" s="13">
        <v>81.7</v>
      </c>
    </row>
    <row r="13" spans="1:17" ht="27.75" x14ac:dyDescent="0.25">
      <c r="A13" s="9" t="s">
        <v>69</v>
      </c>
      <c r="B13" s="13">
        <v>85.1</v>
      </c>
      <c r="C13" s="13">
        <v>115.3</v>
      </c>
      <c r="D13" s="13">
        <v>112.8</v>
      </c>
      <c r="E13" s="13">
        <v>115.9</v>
      </c>
      <c r="F13" s="13">
        <v>111.7</v>
      </c>
      <c r="G13" s="13">
        <v>112.5</v>
      </c>
      <c r="H13" s="13">
        <v>128.6</v>
      </c>
      <c r="I13" s="13">
        <v>126</v>
      </c>
      <c r="J13" s="13">
        <v>123</v>
      </c>
      <c r="K13" s="13">
        <v>133.69999999999999</v>
      </c>
      <c r="L13" s="13">
        <v>134.69999999999999</v>
      </c>
      <c r="M13" s="13">
        <v>137.69999999999999</v>
      </c>
      <c r="N13" s="13">
        <v>148</v>
      </c>
      <c r="O13" s="13">
        <v>176.3</v>
      </c>
      <c r="P13" s="13">
        <v>190.4</v>
      </c>
      <c r="Q13" s="13">
        <v>212.5</v>
      </c>
    </row>
    <row r="14" spans="1:17" ht="53.25" x14ac:dyDescent="0.25">
      <c r="A14" s="9" t="s">
        <v>70</v>
      </c>
      <c r="B14" s="13" t="s">
        <v>36</v>
      </c>
      <c r="C14" s="13" t="s">
        <v>36</v>
      </c>
      <c r="D14" s="13">
        <v>124.9</v>
      </c>
      <c r="E14" s="13">
        <v>132.30000000000001</v>
      </c>
      <c r="F14" s="13">
        <v>135.6</v>
      </c>
      <c r="G14" s="13">
        <v>135.9</v>
      </c>
      <c r="H14" s="13">
        <v>143.1</v>
      </c>
      <c r="I14" s="13">
        <v>141.63999999999999</v>
      </c>
      <c r="J14" s="13">
        <v>157.4</v>
      </c>
      <c r="K14" s="13">
        <v>186.3</v>
      </c>
      <c r="L14" s="13">
        <v>211.7</v>
      </c>
      <c r="M14" s="13">
        <v>191.3</v>
      </c>
      <c r="N14" s="13">
        <v>214.94</v>
      </c>
      <c r="O14" s="13">
        <v>289.7</v>
      </c>
      <c r="P14" s="13">
        <v>295.39999999999998</v>
      </c>
      <c r="Q14" s="26" t="s">
        <v>57</v>
      </c>
    </row>
    <row r="15" spans="1:17" ht="27.75" x14ac:dyDescent="0.25">
      <c r="A15" s="9" t="s">
        <v>78</v>
      </c>
      <c r="B15" s="26" t="s">
        <v>57</v>
      </c>
      <c r="C15" s="26" t="s">
        <v>57</v>
      </c>
      <c r="D15" s="26" t="s">
        <v>57</v>
      </c>
      <c r="E15" s="26" t="s">
        <v>57</v>
      </c>
      <c r="F15" s="26" t="s">
        <v>57</v>
      </c>
      <c r="G15" s="26" t="s">
        <v>57</v>
      </c>
      <c r="H15" s="26" t="s">
        <v>57</v>
      </c>
      <c r="I15" s="26" t="s">
        <v>57</v>
      </c>
      <c r="J15" s="26" t="s">
        <v>57</v>
      </c>
      <c r="K15" s="26" t="s">
        <v>57</v>
      </c>
      <c r="L15" s="26" t="s">
        <v>57</v>
      </c>
      <c r="M15" s="26" t="s">
        <v>57</v>
      </c>
      <c r="N15" s="26" t="s">
        <v>57</v>
      </c>
      <c r="O15" s="26" t="s">
        <v>57</v>
      </c>
      <c r="P15" s="26" t="s">
        <v>57</v>
      </c>
      <c r="Q15" s="13">
        <v>457</v>
      </c>
    </row>
    <row r="16" spans="1:17" x14ac:dyDescent="0.25">
      <c r="A16" s="28" t="s">
        <v>46</v>
      </c>
      <c r="B16" s="23">
        <f>B17</f>
        <v>77.2</v>
      </c>
      <c r="C16" s="23">
        <f t="shared" ref="C16:H16" si="3">C17</f>
        <v>78.7</v>
      </c>
      <c r="D16" s="23">
        <f t="shared" si="3"/>
        <v>79</v>
      </c>
      <c r="E16" s="23">
        <f t="shared" si="3"/>
        <v>80.900000000000006</v>
      </c>
      <c r="F16" s="23">
        <f t="shared" si="3"/>
        <v>81.8</v>
      </c>
      <c r="G16" s="23">
        <f t="shared" si="3"/>
        <v>82.6</v>
      </c>
      <c r="H16" s="23">
        <f t="shared" si="3"/>
        <v>84.1</v>
      </c>
      <c r="I16" s="23">
        <f>I17</f>
        <v>85.5</v>
      </c>
      <c r="J16" s="23">
        <f t="shared" ref="J16:Q16" si="4">J17</f>
        <v>85.95</v>
      </c>
      <c r="K16" s="23">
        <f t="shared" si="4"/>
        <v>87.06</v>
      </c>
      <c r="L16" s="23">
        <f t="shared" si="4"/>
        <v>88.1</v>
      </c>
      <c r="M16" s="23">
        <f t="shared" si="4"/>
        <v>90</v>
      </c>
      <c r="N16" s="23">
        <f t="shared" si="4"/>
        <v>85.3</v>
      </c>
      <c r="O16" s="23">
        <f t="shared" si="4"/>
        <v>85.1</v>
      </c>
      <c r="P16" s="23">
        <f t="shared" si="4"/>
        <v>91.1</v>
      </c>
      <c r="Q16" s="23">
        <f t="shared" si="4"/>
        <v>91.5</v>
      </c>
    </row>
    <row r="17" spans="1:17" ht="27.75" x14ac:dyDescent="0.25">
      <c r="A17" s="9" t="s">
        <v>71</v>
      </c>
      <c r="B17" s="13">
        <f>[2]Réel!B$4</f>
        <v>77.2</v>
      </c>
      <c r="C17" s="13">
        <f>[2]Réel!C$4</f>
        <v>78.7</v>
      </c>
      <c r="D17" s="13">
        <f>[2]Réel!D$4</f>
        <v>79</v>
      </c>
      <c r="E17" s="13">
        <f>[2]Réel!E$4</f>
        <v>80.900000000000006</v>
      </c>
      <c r="F17" s="13">
        <f>[2]Réel!F$4</f>
        <v>81.8</v>
      </c>
      <c r="G17" s="13">
        <f>[2]Réel!G$4</f>
        <v>82.6</v>
      </c>
      <c r="H17" s="13">
        <f>[2]Réel!H$4</f>
        <v>84.1</v>
      </c>
      <c r="I17" s="13">
        <f>[2]Réel!I$4</f>
        <v>85.5</v>
      </c>
      <c r="J17" s="13">
        <f>[2]Réel!J$4</f>
        <v>85.95</v>
      </c>
      <c r="K17" s="13">
        <f>[2]Réel!K$4</f>
        <v>87.06</v>
      </c>
      <c r="L17" s="13">
        <v>88.1</v>
      </c>
      <c r="M17" s="13">
        <v>90</v>
      </c>
      <c r="N17" s="13">
        <v>85.3</v>
      </c>
      <c r="O17" s="13">
        <v>85.1</v>
      </c>
      <c r="P17" s="13">
        <v>91.1</v>
      </c>
      <c r="Q17" s="13">
        <v>91.5</v>
      </c>
    </row>
    <row r="18" spans="1:17" x14ac:dyDescent="0.25">
      <c r="A18" s="28" t="s">
        <v>63</v>
      </c>
      <c r="B18" s="23">
        <f>B19+B20+B22</f>
        <v>1985.5450000000001</v>
      </c>
      <c r="C18" s="23">
        <f t="shared" ref="C18:D18" si="5">C19+C20+C22</f>
        <v>2112.8330000000001</v>
      </c>
      <c r="D18" s="23">
        <f t="shared" si="5"/>
        <v>2199.5498710000002</v>
      </c>
      <c r="E18" s="23">
        <f>E19+E20+E21+E22</f>
        <v>2422.12835</v>
      </c>
      <c r="F18" s="23">
        <f t="shared" ref="F18:N18" si="6">F19+F20+F21+F22</f>
        <v>2552.5032579999997</v>
      </c>
      <c r="G18" s="23">
        <f t="shared" si="6"/>
        <v>3224.0043349999996</v>
      </c>
      <c r="H18" s="23">
        <f t="shared" si="6"/>
        <v>2687.1797449999999</v>
      </c>
      <c r="I18" s="23">
        <f>I19+I20+I21+I22</f>
        <v>3198.5566349999999</v>
      </c>
      <c r="J18" s="23">
        <f t="shared" si="6"/>
        <v>3298.6572809999998</v>
      </c>
      <c r="K18" s="23">
        <f t="shared" si="6"/>
        <v>3400.5561659999994</v>
      </c>
      <c r="L18" s="23">
        <f t="shared" si="6"/>
        <v>2750.1513930000001</v>
      </c>
      <c r="M18" s="23">
        <f t="shared" si="6"/>
        <v>3591.5124387999999</v>
      </c>
      <c r="N18" s="23">
        <f t="shared" si="6"/>
        <v>3607.0464139999999</v>
      </c>
      <c r="O18" s="23">
        <f>O19+O20+O21+O22</f>
        <v>3917.2763139999997</v>
      </c>
      <c r="P18" s="23">
        <f t="shared" ref="P18:Q18" si="7">P19+P20+P21+P22</f>
        <v>3675.2000000000003</v>
      </c>
      <c r="Q18" s="23">
        <f t="shared" si="7"/>
        <v>3443.7</v>
      </c>
    </row>
    <row r="19" spans="1:17" ht="40.5" x14ac:dyDescent="0.25">
      <c r="A19" s="9" t="s">
        <v>72</v>
      </c>
      <c r="B19" s="13">
        <v>62.145000000000003</v>
      </c>
      <c r="C19" s="13">
        <v>66.433000000000007</v>
      </c>
      <c r="D19" s="13">
        <v>70.436000000000007</v>
      </c>
      <c r="E19" s="13">
        <v>73.436000000000007</v>
      </c>
      <c r="F19" s="13">
        <v>74.736000000000004</v>
      </c>
      <c r="G19" s="13">
        <v>75.55</v>
      </c>
      <c r="H19" s="13">
        <f>93.8+9</f>
        <v>102.8</v>
      </c>
      <c r="I19" s="13">
        <v>122.149697</v>
      </c>
      <c r="J19" s="13">
        <f>118.602979</f>
        <v>118.602979</v>
      </c>
      <c r="K19" s="13">
        <v>115.713475</v>
      </c>
      <c r="L19" s="13">
        <v>134.294657</v>
      </c>
      <c r="M19" s="13">
        <v>127.93954600000001</v>
      </c>
      <c r="N19" s="13">
        <v>118.44109400000001</v>
      </c>
      <c r="O19" s="13">
        <v>133.591522</v>
      </c>
      <c r="P19" s="13">
        <v>135.9</v>
      </c>
      <c r="Q19" s="13">
        <v>134.69999999999999</v>
      </c>
    </row>
    <row r="20" spans="1:17" x14ac:dyDescent="0.25">
      <c r="A20" s="9" t="s">
        <v>73</v>
      </c>
      <c r="B20" s="13">
        <v>90.6</v>
      </c>
      <c r="C20" s="13">
        <v>98</v>
      </c>
      <c r="D20" s="13">
        <v>99.2</v>
      </c>
      <c r="E20" s="13">
        <v>101.3</v>
      </c>
      <c r="F20" s="13">
        <v>96.2</v>
      </c>
      <c r="G20" s="13">
        <v>100</v>
      </c>
      <c r="H20" s="13">
        <v>95.3</v>
      </c>
      <c r="I20" s="13">
        <f>90.9+1.2</f>
        <v>92.100000000000009</v>
      </c>
      <c r="J20" s="13">
        <f>96.7+1.5</f>
        <v>98.2</v>
      </c>
      <c r="K20" s="27">
        <f>98.7+1.4</f>
        <v>100.10000000000001</v>
      </c>
      <c r="L20" s="13">
        <f>76+1.4</f>
        <v>77.400000000000006</v>
      </c>
      <c r="M20" s="13">
        <f>89.4486767+1.4182761</f>
        <v>90.866952799999993</v>
      </c>
      <c r="N20" s="13">
        <f>80 +1.3</f>
        <v>81.3</v>
      </c>
      <c r="O20" s="13">
        <v>98.1</v>
      </c>
      <c r="P20" s="13">
        <v>90.8</v>
      </c>
      <c r="Q20" s="13">
        <v>86.8</v>
      </c>
    </row>
    <row r="21" spans="1:17" ht="27.75" x14ac:dyDescent="0.25">
      <c r="A21" s="9" t="s">
        <v>74</v>
      </c>
      <c r="B21" s="13" t="s">
        <v>57</v>
      </c>
      <c r="C21" s="13" t="s">
        <v>57</v>
      </c>
      <c r="D21" s="13" t="s">
        <v>57</v>
      </c>
      <c r="E21" s="13">
        <v>55.8</v>
      </c>
      <c r="F21" s="13">
        <v>277.2</v>
      </c>
      <c r="G21" s="13">
        <v>858.5</v>
      </c>
      <c r="H21" s="13">
        <v>266</v>
      </c>
      <c r="I21" s="13">
        <v>785</v>
      </c>
      <c r="J21" s="13">
        <v>853.1</v>
      </c>
      <c r="K21" s="13">
        <v>996.7</v>
      </c>
      <c r="L21" s="13">
        <v>636.1</v>
      </c>
      <c r="M21" s="13">
        <v>1299.0999999999999</v>
      </c>
      <c r="N21" s="13">
        <v>1267</v>
      </c>
      <c r="O21" s="13">
        <v>1549.3</v>
      </c>
      <c r="P21" s="13">
        <v>1329.2</v>
      </c>
      <c r="Q21" s="13">
        <v>1123.3</v>
      </c>
    </row>
    <row r="22" spans="1:17" x14ac:dyDescent="0.25">
      <c r="A22" s="9" t="s">
        <v>61</v>
      </c>
      <c r="B22" s="13">
        <f>[1]Réel_Carburants!B$4</f>
        <v>1832.8</v>
      </c>
      <c r="C22" s="13">
        <f>[1]Réel_Carburants!C$4</f>
        <v>1948.4</v>
      </c>
      <c r="D22" s="13">
        <f>[1]Réel_Carburants!D$4-0.686129</f>
        <v>2029.913871</v>
      </c>
      <c r="E22" s="13">
        <f>[1]Réel_Carburants!E$4-1.30765</f>
        <v>2191.5923499999999</v>
      </c>
      <c r="F22" s="13">
        <f>[1]Réel_Carburants!F$4-1.232742</f>
        <v>2104.3672579999998</v>
      </c>
      <c r="G22" s="13">
        <f>[1]Réel_Carburants!G$4-1.045665</f>
        <v>2189.9543349999999</v>
      </c>
      <c r="H22" s="13">
        <f>[1]Réel_Carburants!H$4-1.320255</f>
        <v>2223.079745</v>
      </c>
      <c r="I22" s="13">
        <f>[1]Réel_Carburants!I$4-1.243062</f>
        <v>2199.3069380000002</v>
      </c>
      <c r="J22" s="13">
        <f>[1]Réel_Carburants!J$4-1.485698</f>
        <v>2228.7543019999998</v>
      </c>
      <c r="K22" s="13">
        <f>[1]Réel_Carburants!K$4-1.407309</f>
        <v>2188.0426909999996</v>
      </c>
      <c r="L22" s="13">
        <f>1903.8-1.443264</f>
        <v>1902.356736</v>
      </c>
      <c r="M22" s="13">
        <f>2075.1-1.49406</f>
        <v>2073.6059399999999</v>
      </c>
      <c r="N22" s="13">
        <f>2141.6-1.29468</f>
        <v>2140.3053199999999</v>
      </c>
      <c r="O22" s="13">
        <f>2137.6-1.315208</f>
        <v>2136.2847919999999</v>
      </c>
      <c r="P22" s="13">
        <v>2119.3000000000002</v>
      </c>
      <c r="Q22" s="13">
        <v>2098.9</v>
      </c>
    </row>
    <row r="23" spans="1:17" x14ac:dyDescent="0.25">
      <c r="A23" s="28" t="s">
        <v>64</v>
      </c>
      <c r="B23" s="23">
        <f>B25</f>
        <v>1.2</v>
      </c>
      <c r="C23" s="23">
        <f t="shared" ref="C23:N23" si="8">C25</f>
        <v>1.2</v>
      </c>
      <c r="D23" s="23">
        <f t="shared" si="8"/>
        <v>1.2</v>
      </c>
      <c r="E23" s="23">
        <f t="shared" si="8"/>
        <v>1.5</v>
      </c>
      <c r="F23" s="23">
        <f t="shared" si="8"/>
        <v>2.5</v>
      </c>
      <c r="G23" s="23">
        <f t="shared" si="8"/>
        <v>3.2</v>
      </c>
      <c r="H23" s="23">
        <f t="shared" si="8"/>
        <v>3.8</v>
      </c>
      <c r="I23" s="23">
        <f t="shared" si="8"/>
        <v>4.3</v>
      </c>
      <c r="J23" s="23">
        <f t="shared" si="8"/>
        <v>4.5</v>
      </c>
      <c r="K23" s="23">
        <f t="shared" si="8"/>
        <v>5.0999999999999996</v>
      </c>
      <c r="L23" s="23">
        <f t="shared" si="8"/>
        <v>6</v>
      </c>
      <c r="M23" s="23">
        <f t="shared" si="8"/>
        <v>6.1</v>
      </c>
      <c r="N23" s="23">
        <f t="shared" si="8"/>
        <v>6</v>
      </c>
      <c r="O23" s="23">
        <f>O25+O24</f>
        <v>12.4</v>
      </c>
      <c r="P23" s="23">
        <f t="shared" ref="P23:Q23" si="9">P25+P24</f>
        <v>42.7</v>
      </c>
      <c r="Q23" s="23">
        <f t="shared" si="9"/>
        <v>56.9</v>
      </c>
    </row>
    <row r="24" spans="1:17" ht="40.5" x14ac:dyDescent="0.25">
      <c r="A24" s="9" t="s">
        <v>75</v>
      </c>
      <c r="B24" s="26" t="s">
        <v>57</v>
      </c>
      <c r="C24" s="26" t="s">
        <v>57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26" t="s">
        <v>57</v>
      </c>
      <c r="J24" s="26" t="s">
        <v>57</v>
      </c>
      <c r="K24" s="26" t="s">
        <v>57</v>
      </c>
      <c r="L24" s="26" t="s">
        <v>57</v>
      </c>
      <c r="M24" s="26" t="s">
        <v>57</v>
      </c>
      <c r="N24" s="26" t="s">
        <v>57</v>
      </c>
      <c r="O24" s="13">
        <v>3.5</v>
      </c>
      <c r="P24" s="13">
        <v>25.3</v>
      </c>
      <c r="Q24" s="13">
        <v>36.5</v>
      </c>
    </row>
    <row r="25" spans="1:17" ht="27.75" x14ac:dyDescent="0.25">
      <c r="A25" s="9" t="s">
        <v>76</v>
      </c>
      <c r="B25" s="13">
        <v>1.2</v>
      </c>
      <c r="C25" s="13">
        <v>1.2</v>
      </c>
      <c r="D25" s="13">
        <v>1.2</v>
      </c>
      <c r="E25" s="13">
        <v>1.5</v>
      </c>
      <c r="F25" s="13">
        <v>2.5</v>
      </c>
      <c r="G25" s="13">
        <v>3.2</v>
      </c>
      <c r="H25" s="13">
        <v>3.8</v>
      </c>
      <c r="I25" s="13">
        <v>4.3</v>
      </c>
      <c r="J25" s="13">
        <v>4.5</v>
      </c>
      <c r="K25" s="13">
        <v>5.0999999999999996</v>
      </c>
      <c r="L25" s="13">
        <v>6</v>
      </c>
      <c r="M25" s="13">
        <v>6.1</v>
      </c>
      <c r="N25" s="13">
        <v>6</v>
      </c>
      <c r="O25" s="13">
        <v>8.9</v>
      </c>
      <c r="P25" s="13">
        <v>17.399999999999999</v>
      </c>
      <c r="Q25" s="13">
        <v>20.399999999999999</v>
      </c>
    </row>
    <row r="26" spans="1:17" ht="15.75" thickBot="1" x14ac:dyDescent="0.3">
      <c r="A26" s="15" t="s">
        <v>77</v>
      </c>
      <c r="B26" s="25">
        <f t="shared" ref="B26:H26" si="10">B7+B9+B16+B18+B23</f>
        <v>2175.0450000000001</v>
      </c>
      <c r="C26" s="25">
        <f t="shared" si="10"/>
        <v>2334.6329999999998</v>
      </c>
      <c r="D26" s="25">
        <f t="shared" si="10"/>
        <v>2543.249871</v>
      </c>
      <c r="E26" s="25">
        <f t="shared" si="10"/>
        <v>2854.52835</v>
      </c>
      <c r="F26" s="25">
        <f t="shared" si="10"/>
        <v>2984.7032579999996</v>
      </c>
      <c r="G26" s="25">
        <f t="shared" si="10"/>
        <v>3640.0043349999996</v>
      </c>
      <c r="H26" s="25">
        <f t="shared" si="10"/>
        <v>3122.9797450000001</v>
      </c>
      <c r="I26" s="25">
        <f t="shared" ref="I26:Q26" si="11">I5+I7+I9+I16+I18+I23</f>
        <v>3652.1966350000002</v>
      </c>
      <c r="J26" s="25">
        <f t="shared" si="11"/>
        <v>3781.4072809999998</v>
      </c>
      <c r="K26" s="25">
        <f t="shared" si="11"/>
        <v>3916.9161659999995</v>
      </c>
      <c r="L26" s="25">
        <f t="shared" si="11"/>
        <v>3299.0513930000002</v>
      </c>
      <c r="M26" s="25">
        <f t="shared" si="11"/>
        <v>4139.0124388000004</v>
      </c>
      <c r="N26" s="25">
        <f t="shared" si="11"/>
        <v>4193.986414</v>
      </c>
      <c r="O26" s="25">
        <f t="shared" si="11"/>
        <v>4655.4763139999995</v>
      </c>
      <c r="P26" s="25">
        <f t="shared" si="11"/>
        <v>4495.1000000000004</v>
      </c>
      <c r="Q26" s="25">
        <f t="shared" si="11"/>
        <v>4466.7999999999993</v>
      </c>
    </row>
    <row r="27" spans="1:17" ht="51" customHeight="1" x14ac:dyDescent="0.25">
      <c r="A27" s="49" t="s">
        <v>82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7" x14ac:dyDescent="0.25">
      <c r="A28" s="9"/>
    </row>
    <row r="29" spans="1:17" x14ac:dyDescent="0.25">
      <c r="A29" s="9"/>
    </row>
    <row r="31" spans="1:17" ht="15" customHeight="1" x14ac:dyDescent="0.25">
      <c r="M31" s="2"/>
    </row>
    <row r="317" spans="1:1" ht="15" customHeight="1" x14ac:dyDescent="0.25">
      <c r="A317" s="17"/>
    </row>
  </sheetData>
  <mergeCells count="3">
    <mergeCell ref="A2:L2"/>
    <mergeCell ref="A3:O3"/>
    <mergeCell ref="A27:O27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8A94-0619-41B1-8E88-C2B910D58B73}">
  <dimension ref="A1:R341"/>
  <sheetViews>
    <sheetView showZeros="0" tabSelected="1" topLeftCell="A23" zoomScale="85" zoomScaleNormal="85" workbookViewId="0">
      <pane xSplit="1" topLeftCell="B1" activePane="topRight" state="frozen"/>
      <selection pane="topRight" activeCell="B42" sqref="B42"/>
    </sheetView>
  </sheetViews>
  <sheetFormatPr baseColWidth="10" defaultRowHeight="15" customHeight="1" x14ac:dyDescent="0.25"/>
  <cols>
    <col min="1" max="1" width="47.140625" customWidth="1"/>
    <col min="2" max="14" width="11.5703125" customWidth="1"/>
    <col min="15" max="15" width="2.5703125" customWidth="1"/>
    <col min="16" max="18" width="11.5703125" customWidth="1"/>
  </cols>
  <sheetData>
    <row r="1" spans="1:18" ht="15" customHeight="1" x14ac:dyDescent="0.25">
      <c r="A1" s="1" t="s">
        <v>44</v>
      </c>
      <c r="K1" s="2"/>
      <c r="L1" s="2"/>
    </row>
    <row r="2" spans="1:18" ht="15" customHeight="1" x14ac:dyDescent="0.25">
      <c r="A2" s="42" t="s">
        <v>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5"/>
      <c r="N2" s="4"/>
      <c r="O2" s="4"/>
      <c r="P2" s="4"/>
    </row>
    <row r="3" spans="1:18" ht="15" customHeight="1" thickBot="1" x14ac:dyDescent="0.3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6"/>
      <c r="P3" s="6"/>
      <c r="Q3" s="6"/>
      <c r="R3" s="6"/>
    </row>
    <row r="4" spans="1:18" ht="15" hidden="1" customHeight="1" thickBot="1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18"/>
      <c r="P4" s="18"/>
      <c r="Q4" s="21" t="s">
        <v>16</v>
      </c>
    </row>
    <row r="5" spans="1:18" ht="15.75" hidden="1" thickBot="1" x14ac:dyDescent="0.3">
      <c r="A5" s="9" t="s">
        <v>17</v>
      </c>
      <c r="B5" s="10">
        <f>[1]Réel_Carburants!B$4</f>
        <v>1832.8</v>
      </c>
      <c r="C5" s="10">
        <f>[1]Réel_Carburants!C$4</f>
        <v>1948.4</v>
      </c>
      <c r="D5" s="10">
        <f>[1]Réel_Carburants!D$4</f>
        <v>2030.6</v>
      </c>
      <c r="E5" s="10">
        <f>[1]Réel_Carburants!E$4</f>
        <v>2192.9</v>
      </c>
      <c r="F5" s="10">
        <f>[1]Réel_Carburants!F$4</f>
        <v>2105.6</v>
      </c>
      <c r="G5" s="10">
        <f>[1]Réel_Carburants!G$4</f>
        <v>2191</v>
      </c>
      <c r="H5" s="10">
        <f>[1]Réel_Carburants!H$4</f>
        <v>2224.4</v>
      </c>
      <c r="I5" s="10">
        <f>[1]Réel_Carburants!I$4</f>
        <v>2200.5500000000002</v>
      </c>
      <c r="J5" s="10">
        <f>[1]Réel_Carburants!J$4</f>
        <v>2230.2399999999998</v>
      </c>
      <c r="K5" s="10">
        <f>[1]Réel_Carburants!K$4</f>
        <v>2189.4499999999998</v>
      </c>
      <c r="L5" s="10">
        <v>1903.8</v>
      </c>
      <c r="M5" s="10">
        <v>2075.1</v>
      </c>
      <c r="N5" s="11">
        <v>2140.3000000000002</v>
      </c>
      <c r="O5" s="10"/>
      <c r="P5" s="11"/>
      <c r="Q5" s="10">
        <f>SUM(B5:L5)</f>
        <v>23049.739999999998</v>
      </c>
    </row>
    <row r="6" spans="1:18" ht="28.5" hidden="1" thickBot="1" x14ac:dyDescent="0.3">
      <c r="A6" s="9" t="s">
        <v>18</v>
      </c>
      <c r="B6" s="10">
        <f>[2]Réel!B$4</f>
        <v>77.2</v>
      </c>
      <c r="C6" s="10">
        <f>[2]Réel!C$4</f>
        <v>78.7</v>
      </c>
      <c r="D6" s="10">
        <f>[2]Réel!D$4</f>
        <v>79</v>
      </c>
      <c r="E6" s="10">
        <f>[2]Réel!E$4</f>
        <v>80.900000000000006</v>
      </c>
      <c r="F6" s="10">
        <f>[2]Réel!F$4</f>
        <v>81.8</v>
      </c>
      <c r="G6" s="10">
        <f>[2]Réel!G$4</f>
        <v>82.6</v>
      </c>
      <c r="H6" s="10">
        <f>[2]Réel!H$4</f>
        <v>84.1</v>
      </c>
      <c r="I6" s="10">
        <f>[2]Réel!I$4</f>
        <v>85.5</v>
      </c>
      <c r="J6" s="10">
        <f>[2]Réel!J$4</f>
        <v>85.95</v>
      </c>
      <c r="K6" s="10">
        <f>[2]Réel!K$4</f>
        <v>87.06</v>
      </c>
      <c r="L6" s="10">
        <v>88.1</v>
      </c>
      <c r="M6" s="10">
        <v>90</v>
      </c>
      <c r="N6" s="11">
        <v>85.3</v>
      </c>
      <c r="O6" s="10"/>
      <c r="P6" s="11"/>
      <c r="Q6" s="10">
        <f>SUM(B6:L6)</f>
        <v>910.9100000000002</v>
      </c>
    </row>
    <row r="7" spans="1:18" ht="15.75" hidden="1" customHeight="1" x14ac:dyDescent="0.25">
      <c r="A7" s="9" t="s">
        <v>19</v>
      </c>
      <c r="B7" s="10"/>
      <c r="C7" s="10"/>
      <c r="D7" s="10"/>
      <c r="E7" s="10"/>
      <c r="F7" s="10"/>
      <c r="G7" s="10"/>
      <c r="H7" s="10"/>
      <c r="I7" s="10">
        <v>34.799999999999997</v>
      </c>
      <c r="J7" s="10">
        <v>35.1</v>
      </c>
      <c r="K7" s="10">
        <v>35.200000000000003</v>
      </c>
      <c r="L7" s="10">
        <v>36</v>
      </c>
      <c r="M7" s="10">
        <v>36.4</v>
      </c>
      <c r="N7" s="11">
        <v>35.4</v>
      </c>
      <c r="O7" s="10"/>
      <c r="P7" s="11"/>
      <c r="Q7" s="10"/>
    </row>
    <row r="8" spans="1:18" ht="18.75" hidden="1" customHeight="1" x14ac:dyDescent="0.25">
      <c r="A8" s="9" t="s">
        <v>20</v>
      </c>
      <c r="B8" s="10">
        <v>90.6</v>
      </c>
      <c r="C8" s="10">
        <v>98</v>
      </c>
      <c r="D8" s="10">
        <v>99.2</v>
      </c>
      <c r="E8" s="10">
        <v>101.3</v>
      </c>
      <c r="F8" s="10">
        <v>96.2</v>
      </c>
      <c r="G8" s="10">
        <v>100</v>
      </c>
      <c r="H8" s="10">
        <v>95.3</v>
      </c>
      <c r="I8" s="10">
        <f>90.9+1.2</f>
        <v>92.100000000000009</v>
      </c>
      <c r="J8" s="10">
        <f>96.7+1.5</f>
        <v>98.2</v>
      </c>
      <c r="K8" s="12">
        <f>98.7+1.4</f>
        <v>100.10000000000001</v>
      </c>
      <c r="L8" s="10">
        <f>76+1.4</f>
        <v>77.400000000000006</v>
      </c>
      <c r="M8" s="10">
        <f>89.4486767+1.4182761</f>
        <v>90.866952799999993</v>
      </c>
      <c r="N8" s="11">
        <f>80 +1.3</f>
        <v>81.3</v>
      </c>
      <c r="O8" s="10"/>
      <c r="P8" s="11"/>
      <c r="Q8" s="10">
        <f>SUM(B8:M8)</f>
        <v>1139.2669528000001</v>
      </c>
    </row>
    <row r="9" spans="1:18" ht="30.6" hidden="1" customHeight="1" x14ac:dyDescent="0.25">
      <c r="A9" s="9" t="s">
        <v>21</v>
      </c>
      <c r="B9" s="10">
        <v>62.145000000000003</v>
      </c>
      <c r="C9" s="10">
        <v>66.433000000000007</v>
      </c>
      <c r="D9" s="10">
        <v>70.436000000000007</v>
      </c>
      <c r="E9" s="10">
        <v>73.436000000000007</v>
      </c>
      <c r="F9" s="10">
        <v>74.736000000000004</v>
      </c>
      <c r="G9" s="10">
        <v>75.55</v>
      </c>
      <c r="H9" s="10">
        <f>93.8+9</f>
        <v>102.8</v>
      </c>
      <c r="I9" s="10">
        <f>73.4+43.9</f>
        <v>117.30000000000001</v>
      </c>
      <c r="J9" s="10">
        <f>87.9+30.1</f>
        <v>118</v>
      </c>
      <c r="K9" s="10">
        <f>90.1+29.7</f>
        <v>119.8</v>
      </c>
      <c r="L9" s="10">
        <f>92.3+31</f>
        <v>123.3</v>
      </c>
      <c r="M9" s="10">
        <f>100+29.413429</f>
        <v>129.41342900000001</v>
      </c>
      <c r="N9" s="11">
        <v>126.6</v>
      </c>
      <c r="O9" s="10"/>
      <c r="P9" s="11"/>
      <c r="Q9" s="10">
        <f>SUM(B9:L9)</f>
        <v>1003.9359999999999</v>
      </c>
    </row>
    <row r="10" spans="1:18" ht="17.25" hidden="1" customHeight="1" x14ac:dyDescent="0.25">
      <c r="A10" s="9" t="s">
        <v>22</v>
      </c>
      <c r="B10" s="13" t="s">
        <v>23</v>
      </c>
      <c r="C10" s="13" t="s">
        <v>23</v>
      </c>
      <c r="D10" s="13" t="s">
        <v>23</v>
      </c>
      <c r="E10" s="10">
        <v>55.8</v>
      </c>
      <c r="F10" s="10">
        <v>277.2</v>
      </c>
      <c r="G10" s="10">
        <v>858.5</v>
      </c>
      <c r="H10" s="10">
        <v>266</v>
      </c>
      <c r="I10" s="10">
        <v>785</v>
      </c>
      <c r="J10" s="10">
        <v>853.1</v>
      </c>
      <c r="K10" s="10">
        <v>996.7</v>
      </c>
      <c r="L10" s="10">
        <v>636.1</v>
      </c>
      <c r="M10" s="10">
        <v>1299.0999999999999</v>
      </c>
      <c r="N10" s="11">
        <v>1267</v>
      </c>
      <c r="O10" s="10"/>
      <c r="P10" s="11"/>
      <c r="Q10" s="10">
        <f>SUM(B10:N10)</f>
        <v>7294.5</v>
      </c>
    </row>
    <row r="11" spans="1:18" ht="18.75" hidden="1" customHeight="1" x14ac:dyDescent="0.25">
      <c r="A11" s="9" t="s">
        <v>24</v>
      </c>
      <c r="B11" s="10">
        <v>23.1</v>
      </c>
      <c r="C11" s="10">
        <v>23.5</v>
      </c>
      <c r="D11" s="10">
        <v>22.7</v>
      </c>
      <c r="E11" s="10">
        <v>23.7</v>
      </c>
      <c r="F11" s="10">
        <v>24.3</v>
      </c>
      <c r="G11" s="10">
        <v>24.6</v>
      </c>
      <c r="H11" s="10">
        <v>25.2</v>
      </c>
      <c r="I11" s="10">
        <v>26.5</v>
      </c>
      <c r="J11" s="10">
        <v>26.7</v>
      </c>
      <c r="K11" s="10">
        <v>26.3</v>
      </c>
      <c r="L11" s="10">
        <v>25.4</v>
      </c>
      <c r="M11" s="10">
        <v>26.2</v>
      </c>
      <c r="N11" s="11">
        <v>24.6</v>
      </c>
      <c r="O11" s="10"/>
      <c r="P11" s="11"/>
      <c r="Q11" s="10">
        <f>SUM(B11:N11)</f>
        <v>322.8</v>
      </c>
    </row>
    <row r="12" spans="1:18" ht="15.75" hidden="1" thickBot="1" x14ac:dyDescent="0.3">
      <c r="A12" s="9" t="s">
        <v>26</v>
      </c>
      <c r="B12" s="13" t="s">
        <v>27</v>
      </c>
      <c r="C12" s="13" t="s">
        <v>27</v>
      </c>
      <c r="D12" s="13" t="s">
        <v>27</v>
      </c>
      <c r="E12" s="10">
        <v>75.099999999999994</v>
      </c>
      <c r="F12" s="10">
        <v>73.2</v>
      </c>
      <c r="G12" s="10">
        <v>54.1</v>
      </c>
      <c r="H12" s="10">
        <v>48</v>
      </c>
      <c r="I12" s="10">
        <v>56.7</v>
      </c>
      <c r="J12" s="10">
        <v>57.3</v>
      </c>
      <c r="K12" s="13">
        <v>54.6</v>
      </c>
      <c r="L12" s="13">
        <v>57.6</v>
      </c>
      <c r="M12" s="13">
        <v>56.9</v>
      </c>
      <c r="N12" s="13">
        <v>76.900000000000006</v>
      </c>
      <c r="O12" s="13"/>
      <c r="P12" s="13"/>
      <c r="Q12" s="10">
        <f>SUM(B12:M12)</f>
        <v>533.50000000000011</v>
      </c>
    </row>
    <row r="13" spans="1:18" ht="29.25" hidden="1" customHeight="1" x14ac:dyDescent="0.25">
      <c r="A13" s="9" t="s">
        <v>28</v>
      </c>
      <c r="B13" s="13" t="s">
        <v>27</v>
      </c>
      <c r="C13" s="13" t="s">
        <v>27</v>
      </c>
      <c r="D13" s="10">
        <v>124.9</v>
      </c>
      <c r="E13" s="10">
        <v>132.30000000000001</v>
      </c>
      <c r="F13" s="10">
        <v>135.6</v>
      </c>
      <c r="G13" s="10">
        <v>135.9</v>
      </c>
      <c r="H13" s="10">
        <v>143.1</v>
      </c>
      <c r="I13" s="10">
        <v>141.63999999999999</v>
      </c>
      <c r="J13" s="10">
        <v>157.4</v>
      </c>
      <c r="K13" s="10">
        <v>186.3</v>
      </c>
      <c r="L13" s="13">
        <v>211.7</v>
      </c>
      <c r="M13" s="13">
        <v>191.3</v>
      </c>
      <c r="N13" s="13">
        <v>217.2</v>
      </c>
      <c r="O13" s="13"/>
      <c r="P13" s="13"/>
      <c r="Q13" s="10">
        <f>SUM(B13:N13)</f>
        <v>1777.3400000000001</v>
      </c>
    </row>
    <row r="14" spans="1:18" ht="28.5" hidden="1" thickBot="1" x14ac:dyDescent="0.3">
      <c r="A14" s="9" t="s">
        <v>29</v>
      </c>
      <c r="B14" s="10">
        <v>85.1</v>
      </c>
      <c r="C14" s="10">
        <v>115.3</v>
      </c>
      <c r="D14" s="10">
        <v>112.8</v>
      </c>
      <c r="E14" s="10">
        <v>115.9</v>
      </c>
      <c r="F14" s="10">
        <v>111.7</v>
      </c>
      <c r="G14" s="10">
        <v>112.5</v>
      </c>
      <c r="H14" s="10">
        <v>128.6</v>
      </c>
      <c r="I14" s="10">
        <v>126</v>
      </c>
      <c r="J14" s="10">
        <v>123</v>
      </c>
      <c r="K14" s="10">
        <v>133.69999999999999</v>
      </c>
      <c r="L14" s="10">
        <v>134.69999999999999</v>
      </c>
      <c r="M14" s="10">
        <v>137.69999999999999</v>
      </c>
      <c r="N14" s="10">
        <v>125.7</v>
      </c>
      <c r="O14" s="10"/>
      <c r="P14" s="10"/>
      <c r="Q14" s="10">
        <f>SUM(B14:N14)</f>
        <v>1562.7000000000003</v>
      </c>
    </row>
    <row r="15" spans="1:18" ht="27" hidden="1" thickBot="1" x14ac:dyDescent="0.3">
      <c r="A15" s="9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>
        <f>SUM(B15:L15)</f>
        <v>0</v>
      </c>
    </row>
    <row r="16" spans="1:18" ht="18" hidden="1" customHeight="1" x14ac:dyDescent="0.25">
      <c r="A16" s="9" t="s">
        <v>31</v>
      </c>
      <c r="B16" s="10">
        <v>1.2</v>
      </c>
      <c r="C16" s="10">
        <v>1.2</v>
      </c>
      <c r="D16" s="10">
        <v>1.2</v>
      </c>
      <c r="E16" s="10">
        <v>1.5</v>
      </c>
      <c r="F16" s="10">
        <v>2.5</v>
      </c>
      <c r="G16" s="10">
        <v>3.2</v>
      </c>
      <c r="H16" s="10">
        <v>3.8</v>
      </c>
      <c r="I16" s="10">
        <v>4.3</v>
      </c>
      <c r="J16" s="10">
        <v>4.5</v>
      </c>
      <c r="K16" s="10">
        <v>5.0999999999999996</v>
      </c>
      <c r="L16" s="10">
        <v>6</v>
      </c>
      <c r="M16" s="10">
        <v>6.1</v>
      </c>
      <c r="N16" s="10">
        <v>6.7</v>
      </c>
      <c r="O16" s="10"/>
      <c r="P16" s="10"/>
      <c r="Q16" s="10">
        <f>SUM(B16:M16)</f>
        <v>40.6</v>
      </c>
    </row>
    <row r="17" spans="1:18" ht="18.75" hidden="1" customHeight="1" x14ac:dyDescent="0.25">
      <c r="A17" s="9" t="s">
        <v>33</v>
      </c>
      <c r="B17" s="10">
        <v>2.9</v>
      </c>
      <c r="C17" s="10">
        <v>3.1</v>
      </c>
      <c r="D17" s="10">
        <v>3.1</v>
      </c>
      <c r="E17" s="10">
        <v>3</v>
      </c>
      <c r="F17" s="10">
        <v>3.1</v>
      </c>
      <c r="G17" s="10">
        <v>3.1</v>
      </c>
      <c r="H17" s="10">
        <v>3</v>
      </c>
      <c r="I17" s="10">
        <v>3.3</v>
      </c>
      <c r="J17" s="10">
        <v>3.2</v>
      </c>
      <c r="K17" s="10">
        <v>3</v>
      </c>
      <c r="L17" s="10">
        <v>3</v>
      </c>
      <c r="M17" s="10">
        <v>2.9</v>
      </c>
      <c r="N17" s="14">
        <v>3.1</v>
      </c>
      <c r="O17" s="10"/>
      <c r="P17" s="14"/>
      <c r="Q17" s="10">
        <f>SUM(B17:N17)</f>
        <v>39.799999999999997</v>
      </c>
    </row>
    <row r="18" spans="1:18" ht="38.25" hidden="1" customHeight="1" x14ac:dyDescent="0.25">
      <c r="A18" s="9" t="s">
        <v>34</v>
      </c>
      <c r="B18" s="13" t="s">
        <v>23</v>
      </c>
      <c r="C18" s="13" t="s">
        <v>23</v>
      </c>
      <c r="D18" s="13" t="s">
        <v>23</v>
      </c>
      <c r="E18" s="13" t="s">
        <v>23</v>
      </c>
      <c r="F18" s="13" t="s">
        <v>23</v>
      </c>
      <c r="G18" s="13" t="s">
        <v>23</v>
      </c>
      <c r="H18" s="13" t="s">
        <v>23</v>
      </c>
      <c r="I18" s="10">
        <v>9.6999999999999993</v>
      </c>
      <c r="J18" s="10">
        <v>24.4</v>
      </c>
      <c r="K18" s="10">
        <v>18.5</v>
      </c>
      <c r="L18" s="10">
        <v>27.8</v>
      </c>
      <c r="M18" s="10">
        <v>36.4</v>
      </c>
      <c r="N18" s="10">
        <v>31.1</v>
      </c>
      <c r="O18" s="10"/>
      <c r="P18" s="10"/>
      <c r="Q18" s="10">
        <f>SUM(B18:N18)</f>
        <v>147.89999999999998</v>
      </c>
    </row>
    <row r="19" spans="1:18" ht="15.75" hidden="1" thickBot="1" x14ac:dyDescent="0.3">
      <c r="A19" s="15" t="s">
        <v>35</v>
      </c>
      <c r="B19" s="15">
        <f>SUM(B5:B18)-B7</f>
        <v>2175.0449999999996</v>
      </c>
      <c r="C19" s="15">
        <f>SUM(C5:C18)-C7</f>
        <v>2334.6330000000003</v>
      </c>
      <c r="D19" s="15">
        <f t="shared" ref="D19:N19" si="0">SUM(D5:D18)-D7</f>
        <v>2543.9359999999997</v>
      </c>
      <c r="E19" s="15">
        <f t="shared" si="0"/>
        <v>2855.8360000000007</v>
      </c>
      <c r="F19" s="15">
        <f t="shared" si="0"/>
        <v>2985.9359999999992</v>
      </c>
      <c r="G19" s="15">
        <f t="shared" si="0"/>
        <v>3641.0499999999997</v>
      </c>
      <c r="H19" s="15">
        <f t="shared" si="0"/>
        <v>3124.3</v>
      </c>
      <c r="I19" s="15">
        <f t="shared" si="0"/>
        <v>3648.59</v>
      </c>
      <c r="J19" s="15">
        <f t="shared" si="0"/>
        <v>3781.9899999999993</v>
      </c>
      <c r="K19" s="15">
        <f t="shared" si="0"/>
        <v>3920.6099999999997</v>
      </c>
      <c r="L19" s="15">
        <f t="shared" si="0"/>
        <v>3294.8999999999996</v>
      </c>
      <c r="M19" s="15">
        <f t="shared" si="0"/>
        <v>4141.9803818</v>
      </c>
      <c r="N19" s="15">
        <f t="shared" si="0"/>
        <v>4185.8000000000011</v>
      </c>
      <c r="O19" s="16"/>
      <c r="P19" s="16"/>
      <c r="Q19" s="13">
        <f>SUM(Q5:Q18)</f>
        <v>37822.992952800007</v>
      </c>
    </row>
    <row r="20" spans="1:18" ht="14.45" customHeight="1" x14ac:dyDescent="0.25">
      <c r="A20" s="16"/>
      <c r="B20" s="48" t="s">
        <v>48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33"/>
      <c r="P20" s="46" t="s">
        <v>49</v>
      </c>
      <c r="Q20" s="47"/>
      <c r="R20" s="47"/>
    </row>
    <row r="21" spans="1:18" x14ac:dyDescent="0.25">
      <c r="A21" s="29"/>
      <c r="B21" s="18" t="s">
        <v>2</v>
      </c>
      <c r="C21" s="18" t="s">
        <v>3</v>
      </c>
      <c r="D21" s="18" t="s">
        <v>4</v>
      </c>
      <c r="E21" s="18" t="s">
        <v>5</v>
      </c>
      <c r="F21" s="18" t="s">
        <v>6</v>
      </c>
      <c r="G21" s="18" t="s">
        <v>7</v>
      </c>
      <c r="H21" s="18" t="s">
        <v>8</v>
      </c>
      <c r="I21" s="18" t="s">
        <v>9</v>
      </c>
      <c r="J21" s="18" t="s">
        <v>10</v>
      </c>
      <c r="K21" s="18" t="s">
        <v>47</v>
      </c>
      <c r="L21" s="18" t="s">
        <v>41</v>
      </c>
      <c r="M21" s="18" t="s">
        <v>42</v>
      </c>
      <c r="N21" s="18" t="s">
        <v>43</v>
      </c>
      <c r="O21" s="19"/>
      <c r="P21" s="18" t="s">
        <v>15</v>
      </c>
      <c r="Q21" s="18" t="s">
        <v>55</v>
      </c>
      <c r="R21" s="18" t="s">
        <v>56</v>
      </c>
    </row>
    <row r="22" spans="1:18" x14ac:dyDescent="0.25">
      <c r="A22" s="28" t="s">
        <v>32</v>
      </c>
      <c r="B22" s="23">
        <v>5.5709999999999997</v>
      </c>
      <c r="C22" s="23">
        <v>3.3039999999999998</v>
      </c>
      <c r="D22" s="23">
        <v>2.5459999999999998</v>
      </c>
      <c r="E22" s="23">
        <v>0.92</v>
      </c>
      <c r="F22" s="23">
        <v>9.08</v>
      </c>
      <c r="G22" s="23">
        <v>6.0990000000000002</v>
      </c>
      <c r="H22" s="23">
        <v>6.5149999999999997</v>
      </c>
      <c r="I22" s="23">
        <v>4.3819999999999997</v>
      </c>
      <c r="J22" s="23">
        <v>3.4729999999999999</v>
      </c>
      <c r="K22" s="23">
        <v>1.526</v>
      </c>
      <c r="L22" s="23">
        <v>2</v>
      </c>
      <c r="M22" s="23">
        <v>13.315</v>
      </c>
      <c r="N22" s="23">
        <v>8.7884139999999995</v>
      </c>
      <c r="O22" s="23"/>
      <c r="P22" s="23">
        <f>P26</f>
        <v>8.9</v>
      </c>
      <c r="Q22" s="23">
        <f t="shared" ref="Q22:R22" si="1">Q26</f>
        <v>12</v>
      </c>
      <c r="R22" s="23">
        <f t="shared" si="1"/>
        <v>13.5</v>
      </c>
    </row>
    <row r="23" spans="1:18" ht="27.75" x14ac:dyDescent="0.25">
      <c r="A23" s="31" t="s">
        <v>84</v>
      </c>
      <c r="B23" s="13" t="s">
        <v>36</v>
      </c>
      <c r="C23" s="13" t="s">
        <v>36</v>
      </c>
      <c r="D23" s="13" t="s">
        <v>36</v>
      </c>
      <c r="E23" s="13" t="s">
        <v>36</v>
      </c>
      <c r="F23" s="13" t="s">
        <v>37</v>
      </c>
      <c r="G23" s="13" t="s">
        <v>37</v>
      </c>
      <c r="H23" s="13" t="s">
        <v>37</v>
      </c>
      <c r="I23" s="13" t="s">
        <v>37</v>
      </c>
      <c r="J23" s="13" t="s">
        <v>37</v>
      </c>
      <c r="K23" s="13" t="s">
        <v>37</v>
      </c>
      <c r="L23" s="13" t="s">
        <v>37</v>
      </c>
      <c r="M23" s="13" t="s">
        <v>37</v>
      </c>
      <c r="N23" s="13" t="s">
        <v>37</v>
      </c>
      <c r="O23" s="13"/>
      <c r="P23" s="13" t="s">
        <v>37</v>
      </c>
      <c r="Q23" s="13" t="s">
        <v>37</v>
      </c>
      <c r="R23" s="13" t="s">
        <v>37</v>
      </c>
    </row>
    <row r="24" spans="1:18" ht="27.75" x14ac:dyDescent="0.25">
      <c r="A24" s="31" t="s">
        <v>87</v>
      </c>
      <c r="B24" s="13" t="s">
        <v>36</v>
      </c>
      <c r="C24" s="13" t="s">
        <v>36</v>
      </c>
      <c r="D24" s="13" t="s">
        <v>36</v>
      </c>
      <c r="E24" s="13" t="s">
        <v>36</v>
      </c>
      <c r="F24" s="13" t="s">
        <v>36</v>
      </c>
      <c r="G24" s="13" t="s">
        <v>36</v>
      </c>
      <c r="H24" s="13" t="s">
        <v>36</v>
      </c>
      <c r="I24" s="13" t="s">
        <v>36</v>
      </c>
      <c r="J24" s="13" t="s">
        <v>36</v>
      </c>
      <c r="K24" s="13" t="s">
        <v>36</v>
      </c>
      <c r="L24" s="13" t="s">
        <v>36</v>
      </c>
      <c r="M24" s="13" t="s">
        <v>36</v>
      </c>
      <c r="N24" s="13" t="s">
        <v>36</v>
      </c>
      <c r="O24" s="13"/>
      <c r="P24" s="13" t="s">
        <v>36</v>
      </c>
      <c r="Q24" s="13" t="s">
        <v>36</v>
      </c>
      <c r="R24" s="13" t="s">
        <v>36</v>
      </c>
    </row>
    <row r="25" spans="1:18" ht="26.25" x14ac:dyDescent="0.25">
      <c r="A25" s="31" t="s">
        <v>86</v>
      </c>
      <c r="B25" s="13" t="s">
        <v>36</v>
      </c>
      <c r="C25" s="13" t="s">
        <v>36</v>
      </c>
      <c r="D25" s="13" t="s">
        <v>36</v>
      </c>
      <c r="E25" s="13" t="s">
        <v>36</v>
      </c>
      <c r="F25" s="13" t="s">
        <v>36</v>
      </c>
      <c r="G25" s="13" t="s">
        <v>36</v>
      </c>
      <c r="H25" s="13" t="s">
        <v>36</v>
      </c>
      <c r="I25" s="13" t="s">
        <v>36</v>
      </c>
      <c r="J25" s="13" t="s">
        <v>36</v>
      </c>
      <c r="K25" s="13" t="s">
        <v>36</v>
      </c>
      <c r="L25" s="13" t="s">
        <v>36</v>
      </c>
      <c r="M25" s="13" t="s">
        <v>36</v>
      </c>
      <c r="N25" s="13" t="s">
        <v>36</v>
      </c>
      <c r="O25" s="13"/>
      <c r="P25" s="13" t="s">
        <v>36</v>
      </c>
      <c r="Q25" s="13" t="s">
        <v>36</v>
      </c>
      <c r="R25" s="13" t="s">
        <v>36</v>
      </c>
    </row>
    <row r="26" spans="1:18" x14ac:dyDescent="0.25">
      <c r="A26" s="31" t="s">
        <v>85</v>
      </c>
      <c r="B26" s="13">
        <v>5.5709999999999997</v>
      </c>
      <c r="C26" s="13">
        <v>3.3039999999999998</v>
      </c>
      <c r="D26" s="13">
        <v>2.5459999999999998</v>
      </c>
      <c r="E26" s="13">
        <v>0.92</v>
      </c>
      <c r="F26" s="13">
        <v>9.08</v>
      </c>
      <c r="G26" s="13">
        <v>6.0990000000000002</v>
      </c>
      <c r="H26" s="13">
        <v>6.5149999999999997</v>
      </c>
      <c r="I26" s="13">
        <v>4.3819999999999997</v>
      </c>
      <c r="J26" s="13">
        <v>3.4729999999999999</v>
      </c>
      <c r="K26" s="13">
        <v>1.526</v>
      </c>
      <c r="L26" s="13">
        <v>2</v>
      </c>
      <c r="M26" s="13">
        <v>13.315</v>
      </c>
      <c r="N26" s="13">
        <v>8.7884139999999995</v>
      </c>
      <c r="O26" s="13"/>
      <c r="P26" s="13">
        <v>8.9</v>
      </c>
      <c r="Q26" s="13">
        <v>12</v>
      </c>
      <c r="R26" s="13">
        <v>13.5</v>
      </c>
    </row>
    <row r="27" spans="1:18" x14ac:dyDescent="0.25">
      <c r="A27" s="30" t="s">
        <v>62</v>
      </c>
      <c r="B27" s="23" t="s">
        <v>57</v>
      </c>
      <c r="C27" s="23" t="s">
        <v>57</v>
      </c>
      <c r="D27" s="23" t="s">
        <v>57</v>
      </c>
      <c r="E27" s="23" t="s">
        <v>57</v>
      </c>
      <c r="F27" s="23" t="s">
        <v>57</v>
      </c>
      <c r="G27" s="23" t="s">
        <v>57</v>
      </c>
      <c r="H27" s="23">
        <v>4.5999999999999996</v>
      </c>
      <c r="I27" s="23">
        <v>6</v>
      </c>
      <c r="J27" s="23">
        <v>6.9</v>
      </c>
      <c r="K27" s="23">
        <v>8</v>
      </c>
      <c r="L27" s="23">
        <v>10.8</v>
      </c>
      <c r="M27" s="23">
        <v>12</v>
      </c>
      <c r="N27" s="23">
        <f>N28</f>
        <v>11.4</v>
      </c>
      <c r="O27" s="23"/>
      <c r="P27" s="23">
        <f>P28</f>
        <v>13.5</v>
      </c>
      <c r="Q27" s="23">
        <f>Q28</f>
        <v>13.9</v>
      </c>
      <c r="R27" s="23">
        <f>R28</f>
        <v>14.2</v>
      </c>
    </row>
    <row r="28" spans="1:18" ht="40.5" x14ac:dyDescent="0.25">
      <c r="A28" s="31" t="s">
        <v>88</v>
      </c>
      <c r="B28" s="13" t="s">
        <v>57</v>
      </c>
      <c r="C28" s="13" t="s">
        <v>57</v>
      </c>
      <c r="D28" s="13" t="s">
        <v>57</v>
      </c>
      <c r="E28" s="13" t="s">
        <v>57</v>
      </c>
      <c r="F28" s="13" t="s">
        <v>57</v>
      </c>
      <c r="G28" s="13" t="s">
        <v>57</v>
      </c>
      <c r="H28" s="13">
        <v>4.5999999999999996</v>
      </c>
      <c r="I28" s="13">
        <v>6</v>
      </c>
      <c r="J28" s="13">
        <v>6.9</v>
      </c>
      <c r="K28" s="13">
        <v>8</v>
      </c>
      <c r="L28" s="13">
        <v>10.8</v>
      </c>
      <c r="M28" s="13">
        <v>12</v>
      </c>
      <c r="N28" s="13">
        <v>11.4</v>
      </c>
      <c r="O28" s="13"/>
      <c r="P28" s="13">
        <v>13.5</v>
      </c>
      <c r="Q28" s="13">
        <v>13.9</v>
      </c>
      <c r="R28" s="13">
        <v>14.2</v>
      </c>
    </row>
    <row r="29" spans="1:18" x14ac:dyDescent="0.25">
      <c r="A29" s="30" t="s">
        <v>46</v>
      </c>
      <c r="B29" s="23" t="s">
        <v>36</v>
      </c>
      <c r="C29" s="23" t="s">
        <v>36</v>
      </c>
      <c r="D29" s="23" t="s">
        <v>36</v>
      </c>
      <c r="E29" s="23" t="s">
        <v>36</v>
      </c>
      <c r="F29" s="23">
        <f>F32</f>
        <v>27.8</v>
      </c>
      <c r="G29" s="23">
        <f t="shared" ref="G29:R29" si="2">G32</f>
        <v>27.4</v>
      </c>
      <c r="H29" s="23">
        <f t="shared" si="2"/>
        <v>27.2</v>
      </c>
      <c r="I29" s="23">
        <f t="shared" si="2"/>
        <v>26.9</v>
      </c>
      <c r="J29" s="23">
        <f t="shared" si="2"/>
        <v>27.3</v>
      </c>
      <c r="K29" s="23">
        <f t="shared" si="2"/>
        <v>21.3</v>
      </c>
      <c r="L29" s="23">
        <f t="shared" si="2"/>
        <v>23.9</v>
      </c>
      <c r="M29" s="23">
        <f t="shared" si="2"/>
        <v>24.7</v>
      </c>
      <c r="N29" s="23">
        <f t="shared" si="2"/>
        <v>23.6</v>
      </c>
      <c r="O29" s="23"/>
      <c r="P29" s="23">
        <f t="shared" si="2"/>
        <v>17.7</v>
      </c>
      <c r="Q29" s="23">
        <f t="shared" si="2"/>
        <v>17.600000000000001</v>
      </c>
      <c r="R29" s="23">
        <f t="shared" si="2"/>
        <v>17.7</v>
      </c>
    </row>
    <row r="30" spans="1:18" ht="40.5" x14ac:dyDescent="0.25">
      <c r="A30" s="9" t="s">
        <v>89</v>
      </c>
      <c r="B30" s="13" t="s">
        <v>36</v>
      </c>
      <c r="C30" s="13" t="s">
        <v>36</v>
      </c>
      <c r="D30" s="13" t="s">
        <v>36</v>
      </c>
      <c r="E30" s="13" t="s">
        <v>36</v>
      </c>
      <c r="F30" s="13" t="s">
        <v>37</v>
      </c>
      <c r="G30" s="13" t="s">
        <v>37</v>
      </c>
      <c r="H30" s="13" t="s">
        <v>37</v>
      </c>
      <c r="I30" s="13" t="s">
        <v>37</v>
      </c>
      <c r="J30" s="13" t="s">
        <v>37</v>
      </c>
      <c r="K30" s="13" t="s">
        <v>37</v>
      </c>
      <c r="L30" s="13" t="s">
        <v>37</v>
      </c>
      <c r="M30" s="13" t="s">
        <v>37</v>
      </c>
      <c r="N30" s="13" t="s">
        <v>37</v>
      </c>
      <c r="O30" s="13"/>
      <c r="P30" s="13" t="s">
        <v>37</v>
      </c>
      <c r="Q30" s="13" t="s">
        <v>37</v>
      </c>
      <c r="R30" s="13" t="s">
        <v>37</v>
      </c>
    </row>
    <row r="31" spans="1:18" ht="27.75" x14ac:dyDescent="0.25">
      <c r="A31" s="9" t="s">
        <v>90</v>
      </c>
      <c r="B31" s="13" t="s">
        <v>36</v>
      </c>
      <c r="C31" s="13" t="s">
        <v>36</v>
      </c>
      <c r="D31" s="13" t="s">
        <v>36</v>
      </c>
      <c r="E31" s="13" t="s">
        <v>36</v>
      </c>
      <c r="F31" s="13" t="s">
        <v>37</v>
      </c>
      <c r="G31" s="13" t="s">
        <v>37</v>
      </c>
      <c r="H31" s="13" t="s">
        <v>37</v>
      </c>
      <c r="I31" s="13" t="s">
        <v>37</v>
      </c>
      <c r="J31" s="13" t="s">
        <v>37</v>
      </c>
      <c r="K31" s="13" t="s">
        <v>37</v>
      </c>
      <c r="L31" s="13" t="s">
        <v>37</v>
      </c>
      <c r="M31" s="13" t="s">
        <v>37</v>
      </c>
      <c r="N31" s="13" t="s">
        <v>37</v>
      </c>
      <c r="O31" s="13"/>
      <c r="P31" s="13" t="s">
        <v>37</v>
      </c>
      <c r="Q31" s="13" t="s">
        <v>37</v>
      </c>
      <c r="R31" s="13" t="s">
        <v>37</v>
      </c>
    </row>
    <row r="32" spans="1:18" ht="27.75" x14ac:dyDescent="0.25">
      <c r="A32" s="9" t="s">
        <v>91</v>
      </c>
      <c r="B32" s="13" t="s">
        <v>36</v>
      </c>
      <c r="C32" s="13" t="s">
        <v>36</v>
      </c>
      <c r="D32" s="13" t="s">
        <v>36</v>
      </c>
      <c r="E32" s="13" t="s">
        <v>36</v>
      </c>
      <c r="F32" s="13">
        <v>27.8</v>
      </c>
      <c r="G32" s="13">
        <v>27.4</v>
      </c>
      <c r="H32" s="13">
        <v>27.2</v>
      </c>
      <c r="I32" s="13">
        <v>26.9</v>
      </c>
      <c r="J32" s="13">
        <v>27.3</v>
      </c>
      <c r="K32" s="13">
        <v>21.3</v>
      </c>
      <c r="L32" s="13">
        <v>23.9</v>
      </c>
      <c r="M32" s="13">
        <v>24.7</v>
      </c>
      <c r="N32" s="13">
        <v>23.6</v>
      </c>
      <c r="O32" s="13"/>
      <c r="P32" s="13">
        <v>17.7</v>
      </c>
      <c r="Q32" s="13">
        <v>17.600000000000001</v>
      </c>
      <c r="R32" s="13">
        <v>17.7</v>
      </c>
    </row>
    <row r="33" spans="1:18" x14ac:dyDescent="0.25">
      <c r="A33" s="32" t="s">
        <v>63</v>
      </c>
      <c r="B33" s="22" t="s">
        <v>36</v>
      </c>
      <c r="C33" s="22" t="s">
        <v>36</v>
      </c>
      <c r="D33" s="22" t="s">
        <v>36</v>
      </c>
      <c r="E33" s="22" t="s">
        <v>36</v>
      </c>
      <c r="F33" s="22" t="s">
        <v>36</v>
      </c>
      <c r="G33" s="22" t="s">
        <v>36</v>
      </c>
      <c r="H33" s="22" t="s">
        <v>36</v>
      </c>
      <c r="I33" s="24">
        <f>I45</f>
        <v>1.1708447000000002</v>
      </c>
      <c r="J33" s="24">
        <f t="shared" ref="J33" si="3">J45</f>
        <v>2.2187588999999996</v>
      </c>
      <c r="K33" s="24">
        <f>K44+K45</f>
        <v>6.0722420999999995</v>
      </c>
      <c r="L33" s="24">
        <f t="shared" ref="L33:R33" si="4">L44+L45</f>
        <v>7.3178334500000002</v>
      </c>
      <c r="M33" s="24">
        <f t="shared" si="4"/>
        <v>9.7541568999999999</v>
      </c>
      <c r="N33" s="24">
        <f t="shared" si="4"/>
        <v>16.6378567</v>
      </c>
      <c r="O33" s="24"/>
      <c r="P33" s="24">
        <f t="shared" si="4"/>
        <v>23.5</v>
      </c>
      <c r="Q33" s="24">
        <f t="shared" si="4"/>
        <v>39.799999999999997</v>
      </c>
      <c r="R33" s="24">
        <f t="shared" si="4"/>
        <v>39.6</v>
      </c>
    </row>
    <row r="34" spans="1:18" ht="53.25" x14ac:dyDescent="0.25">
      <c r="A34" s="9" t="s">
        <v>99</v>
      </c>
      <c r="B34" s="13" t="s">
        <v>36</v>
      </c>
      <c r="C34" s="13" t="s">
        <v>36</v>
      </c>
      <c r="D34" s="13" t="s">
        <v>36</v>
      </c>
      <c r="E34" s="13" t="s">
        <v>36</v>
      </c>
      <c r="F34" s="13" t="s">
        <v>36</v>
      </c>
      <c r="G34" s="13" t="s">
        <v>36</v>
      </c>
      <c r="H34" s="13" t="s">
        <v>36</v>
      </c>
      <c r="I34" s="13" t="s">
        <v>36</v>
      </c>
      <c r="J34" s="13" t="s">
        <v>36</v>
      </c>
      <c r="K34" s="13" t="s">
        <v>36</v>
      </c>
      <c r="L34" s="13" t="s">
        <v>36</v>
      </c>
      <c r="M34" s="13" t="s">
        <v>36</v>
      </c>
      <c r="N34" s="13" t="s">
        <v>36</v>
      </c>
      <c r="O34" s="13"/>
      <c r="P34" s="13" t="s">
        <v>36</v>
      </c>
      <c r="Q34" s="13" t="s">
        <v>36</v>
      </c>
      <c r="R34" s="13" t="s">
        <v>36</v>
      </c>
    </row>
    <row r="35" spans="1:18" ht="40.5" x14ac:dyDescent="0.25">
      <c r="A35" s="9" t="s">
        <v>92</v>
      </c>
      <c r="B35" s="13" t="s">
        <v>36</v>
      </c>
      <c r="C35" s="13" t="s">
        <v>36</v>
      </c>
      <c r="D35" s="13" t="s">
        <v>36</v>
      </c>
      <c r="E35" s="13" t="s">
        <v>36</v>
      </c>
      <c r="F35" s="13" t="s">
        <v>36</v>
      </c>
      <c r="G35" s="13" t="s">
        <v>36</v>
      </c>
      <c r="H35" s="13" t="s">
        <v>36</v>
      </c>
      <c r="I35" s="13" t="s">
        <v>36</v>
      </c>
      <c r="J35" s="13" t="s">
        <v>36</v>
      </c>
      <c r="K35" s="13" t="s">
        <v>36</v>
      </c>
      <c r="L35" s="13" t="s">
        <v>36</v>
      </c>
      <c r="M35" s="13" t="s">
        <v>36</v>
      </c>
      <c r="N35" s="13" t="s">
        <v>36</v>
      </c>
      <c r="O35" s="13"/>
      <c r="P35" s="13" t="s">
        <v>36</v>
      </c>
      <c r="Q35" s="13" t="s">
        <v>36</v>
      </c>
      <c r="R35" s="13" t="s">
        <v>36</v>
      </c>
    </row>
    <row r="36" spans="1:18" ht="40.5" x14ac:dyDescent="0.25">
      <c r="A36" s="9" t="s">
        <v>96</v>
      </c>
      <c r="B36" s="13" t="s">
        <v>36</v>
      </c>
      <c r="C36" s="13" t="s">
        <v>36</v>
      </c>
      <c r="D36" s="13" t="s">
        <v>36</v>
      </c>
      <c r="E36" s="13" t="s">
        <v>36</v>
      </c>
      <c r="F36" s="13" t="s">
        <v>36</v>
      </c>
      <c r="G36" s="13" t="s">
        <v>36</v>
      </c>
      <c r="H36" s="13" t="s">
        <v>36</v>
      </c>
      <c r="I36" s="13" t="s">
        <v>36</v>
      </c>
      <c r="J36" s="13" t="s">
        <v>36</v>
      </c>
      <c r="K36" s="13" t="s">
        <v>36</v>
      </c>
      <c r="L36" s="13" t="s">
        <v>36</v>
      </c>
      <c r="M36" s="13" t="s">
        <v>36</v>
      </c>
      <c r="N36" s="13" t="s">
        <v>36</v>
      </c>
      <c r="O36" s="13"/>
      <c r="P36" s="13" t="s">
        <v>36</v>
      </c>
      <c r="Q36" s="13" t="s">
        <v>36</v>
      </c>
      <c r="R36" s="13" t="s">
        <v>36</v>
      </c>
    </row>
    <row r="37" spans="1:18" s="20" customFormat="1" ht="40.5" hidden="1" x14ac:dyDescent="0.25">
      <c r="A37" s="38" t="s">
        <v>52</v>
      </c>
      <c r="B37" s="36" t="s">
        <v>38</v>
      </c>
      <c r="C37" s="36" t="s">
        <v>38</v>
      </c>
      <c r="D37" s="36" t="s">
        <v>38</v>
      </c>
      <c r="E37" s="36" t="s">
        <v>38</v>
      </c>
      <c r="F37" s="36" t="s">
        <v>38</v>
      </c>
      <c r="G37" s="36" t="s">
        <v>38</v>
      </c>
      <c r="H37" s="37">
        <v>0</v>
      </c>
      <c r="I37" s="36" t="s">
        <v>37</v>
      </c>
      <c r="J37" s="36" t="s">
        <v>37</v>
      </c>
      <c r="K37" s="36" t="s">
        <v>37</v>
      </c>
      <c r="L37" s="36" t="s">
        <v>50</v>
      </c>
      <c r="M37" s="36" t="s">
        <v>37</v>
      </c>
      <c r="N37" s="36" t="s">
        <v>37</v>
      </c>
      <c r="O37" s="36"/>
      <c r="P37" s="37">
        <v>0</v>
      </c>
      <c r="Q37" s="36"/>
      <c r="R37" s="39"/>
    </row>
    <row r="38" spans="1:18" s="20" customFormat="1" ht="40.5" hidden="1" x14ac:dyDescent="0.25">
      <c r="A38" s="38" t="s">
        <v>53</v>
      </c>
      <c r="B38" s="36" t="s">
        <v>36</v>
      </c>
      <c r="C38" s="36" t="s">
        <v>36</v>
      </c>
      <c r="D38" s="36" t="s">
        <v>36</v>
      </c>
      <c r="E38" s="36" t="s">
        <v>36</v>
      </c>
      <c r="F38" s="36" t="s">
        <v>50</v>
      </c>
      <c r="G38" s="36" t="s">
        <v>50</v>
      </c>
      <c r="H38" s="36" t="s">
        <v>50</v>
      </c>
      <c r="I38" s="36" t="s">
        <v>50</v>
      </c>
      <c r="J38" s="36" t="s">
        <v>50</v>
      </c>
      <c r="K38" s="36" t="s">
        <v>50</v>
      </c>
      <c r="L38" s="36" t="s">
        <v>50</v>
      </c>
      <c r="M38" s="36" t="s">
        <v>50</v>
      </c>
      <c r="N38" s="36" t="s">
        <v>50</v>
      </c>
      <c r="O38" s="36"/>
      <c r="P38" s="37">
        <v>0</v>
      </c>
      <c r="Q38" s="36"/>
      <c r="R38" s="39"/>
    </row>
    <row r="39" spans="1:18" s="20" customFormat="1" ht="40.5" hidden="1" x14ac:dyDescent="0.25">
      <c r="A39" s="38" t="s">
        <v>54</v>
      </c>
      <c r="B39" s="36" t="s">
        <v>36</v>
      </c>
      <c r="C39" s="36" t="s">
        <v>36</v>
      </c>
      <c r="D39" s="36" t="s">
        <v>36</v>
      </c>
      <c r="E39" s="36" t="s">
        <v>36</v>
      </c>
      <c r="F39" s="36" t="s">
        <v>37</v>
      </c>
      <c r="G39" s="36" t="s">
        <v>37</v>
      </c>
      <c r="H39" s="36" t="s">
        <v>37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/>
      <c r="P39" s="37">
        <v>0</v>
      </c>
      <c r="Q39" s="36"/>
      <c r="R39" s="39"/>
    </row>
    <row r="40" spans="1:18" ht="27.75" x14ac:dyDescent="0.25">
      <c r="A40" s="9" t="s">
        <v>94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  <c r="H40" s="13" t="s">
        <v>38</v>
      </c>
      <c r="I40" s="34">
        <v>0</v>
      </c>
      <c r="J40" s="34">
        <v>0</v>
      </c>
      <c r="K40" s="34">
        <v>0</v>
      </c>
      <c r="L40" s="34">
        <v>0</v>
      </c>
      <c r="M40" s="13" t="s">
        <v>50</v>
      </c>
      <c r="N40" s="13" t="s">
        <v>50</v>
      </c>
      <c r="O40" s="13"/>
      <c r="P40" s="13" t="s">
        <v>50</v>
      </c>
      <c r="Q40" s="13" t="s">
        <v>50</v>
      </c>
      <c r="R40" s="13" t="s">
        <v>50</v>
      </c>
    </row>
    <row r="41" spans="1:18" ht="27.75" x14ac:dyDescent="0.25">
      <c r="A41" s="9" t="s">
        <v>95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13" t="s">
        <v>50</v>
      </c>
      <c r="O41" s="13"/>
      <c r="P41" s="13" t="s">
        <v>50</v>
      </c>
      <c r="Q41" s="13" t="s">
        <v>50</v>
      </c>
      <c r="R41" s="13" t="s">
        <v>50</v>
      </c>
    </row>
    <row r="42" spans="1:18" ht="27.75" x14ac:dyDescent="0.25">
      <c r="A42" s="9" t="s">
        <v>97</v>
      </c>
      <c r="B42" s="13" t="s">
        <v>36</v>
      </c>
      <c r="C42" s="13" t="s">
        <v>36</v>
      </c>
      <c r="D42" s="13" t="s">
        <v>36</v>
      </c>
      <c r="E42" s="13" t="s">
        <v>36</v>
      </c>
      <c r="F42" s="13" t="s">
        <v>36</v>
      </c>
      <c r="G42" s="13" t="s">
        <v>36</v>
      </c>
      <c r="H42" s="13" t="s">
        <v>36</v>
      </c>
      <c r="I42" s="13" t="s">
        <v>36</v>
      </c>
      <c r="J42" s="13" t="s">
        <v>36</v>
      </c>
      <c r="K42" s="13" t="s">
        <v>36</v>
      </c>
      <c r="L42" s="13" t="s">
        <v>36</v>
      </c>
      <c r="M42" s="13" t="s">
        <v>36</v>
      </c>
      <c r="N42" s="13" t="s">
        <v>36</v>
      </c>
      <c r="O42" s="13"/>
      <c r="P42" s="13" t="s">
        <v>36</v>
      </c>
      <c r="Q42" s="13" t="s">
        <v>36</v>
      </c>
      <c r="R42" s="13" t="s">
        <v>36</v>
      </c>
    </row>
    <row r="43" spans="1:18" s="20" customFormat="1" ht="39" hidden="1" x14ac:dyDescent="0.25">
      <c r="A43" s="38" t="s">
        <v>51</v>
      </c>
      <c r="B43" s="36"/>
      <c r="C43" s="36"/>
      <c r="D43" s="36" t="s">
        <v>36</v>
      </c>
      <c r="E43" s="36" t="s">
        <v>36</v>
      </c>
      <c r="F43" s="36" t="s">
        <v>36</v>
      </c>
      <c r="G43" s="36" t="s">
        <v>36</v>
      </c>
      <c r="H43" s="36" t="s">
        <v>36</v>
      </c>
      <c r="I43" s="36" t="s">
        <v>36</v>
      </c>
      <c r="J43" s="36" t="s">
        <v>36</v>
      </c>
      <c r="K43" s="36" t="s">
        <v>36</v>
      </c>
      <c r="L43" s="36" t="s">
        <v>36</v>
      </c>
      <c r="M43" s="36" t="s">
        <v>36</v>
      </c>
      <c r="N43" s="36" t="s">
        <v>36</v>
      </c>
      <c r="O43" s="36"/>
      <c r="P43" s="36" t="s">
        <v>36</v>
      </c>
      <c r="Q43" s="36"/>
      <c r="R43" s="39"/>
    </row>
    <row r="44" spans="1:18" ht="39" x14ac:dyDescent="0.25">
      <c r="A44" s="9" t="s">
        <v>98</v>
      </c>
      <c r="B44" s="13" t="s">
        <v>57</v>
      </c>
      <c r="C44" s="13" t="s">
        <v>57</v>
      </c>
      <c r="D44" s="13" t="s">
        <v>57</v>
      </c>
      <c r="E44" s="13" t="s">
        <v>57</v>
      </c>
      <c r="F44" s="13" t="s">
        <v>57</v>
      </c>
      <c r="G44" s="13" t="s">
        <v>57</v>
      </c>
      <c r="H44" s="13" t="s">
        <v>57</v>
      </c>
      <c r="I44" s="13" t="s">
        <v>36</v>
      </c>
      <c r="J44" s="13" t="s">
        <v>36</v>
      </c>
      <c r="K44" s="13">
        <v>2</v>
      </c>
      <c r="L44" s="13">
        <v>3</v>
      </c>
      <c r="M44" s="13">
        <v>3.5</v>
      </c>
      <c r="N44" s="13">
        <v>7.8</v>
      </c>
      <c r="O44" s="13"/>
      <c r="P44" s="13">
        <v>11.2</v>
      </c>
      <c r="Q44" s="13">
        <v>22.2</v>
      </c>
      <c r="R44" s="13">
        <v>16.600000000000001</v>
      </c>
    </row>
    <row r="45" spans="1:18" ht="40.5" x14ac:dyDescent="0.25">
      <c r="A45" s="9" t="s">
        <v>93</v>
      </c>
      <c r="B45" s="13" t="s">
        <v>57</v>
      </c>
      <c r="C45" s="13" t="s">
        <v>57</v>
      </c>
      <c r="D45" s="13" t="s">
        <v>57</v>
      </c>
      <c r="E45" s="13" t="s">
        <v>57</v>
      </c>
      <c r="F45" s="13" t="s">
        <v>57</v>
      </c>
      <c r="G45" s="13" t="s">
        <v>57</v>
      </c>
      <c r="H45" s="13" t="s">
        <v>57</v>
      </c>
      <c r="I45" s="13">
        <f>I46+I47</f>
        <v>1.1708447000000002</v>
      </c>
      <c r="J45" s="13">
        <f>J46+J47</f>
        <v>2.2187588999999996</v>
      </c>
      <c r="K45" s="13">
        <f>K46+K47</f>
        <v>4.0722420999999995</v>
      </c>
      <c r="L45" s="13">
        <f>L47+L46</f>
        <v>4.3178334500000002</v>
      </c>
      <c r="M45" s="13">
        <f>M47+M46</f>
        <v>6.2541568999999999</v>
      </c>
      <c r="N45" s="13">
        <f>N47+N46</f>
        <v>8.8378566999999997</v>
      </c>
      <c r="O45" s="13"/>
      <c r="P45" s="13">
        <f>P46+P47</f>
        <v>12.3</v>
      </c>
      <c r="Q45" s="13">
        <f t="shared" ref="Q45:R45" si="5">Q46+Q47</f>
        <v>17.599999999999998</v>
      </c>
      <c r="R45" s="13">
        <f t="shared" si="5"/>
        <v>23</v>
      </c>
    </row>
    <row r="46" spans="1:18" x14ac:dyDescent="0.25">
      <c r="A46" s="9" t="s">
        <v>39</v>
      </c>
      <c r="B46" s="13" t="s">
        <v>57</v>
      </c>
      <c r="C46" s="13" t="s">
        <v>57</v>
      </c>
      <c r="D46" s="13" t="s">
        <v>57</v>
      </c>
      <c r="E46" s="13" t="s">
        <v>57</v>
      </c>
      <c r="F46" s="13" t="s">
        <v>57</v>
      </c>
      <c r="G46" s="13" t="s">
        <v>57</v>
      </c>
      <c r="H46" s="13" t="s">
        <v>57</v>
      </c>
      <c r="I46" s="13">
        <v>1.0763480000000001</v>
      </c>
      <c r="J46" s="13">
        <v>2.0624669999999998</v>
      </c>
      <c r="K46" s="13">
        <v>3.8</v>
      </c>
      <c r="L46" s="13">
        <f>3.426731+0.634254</f>
        <v>4.0609850000000005</v>
      </c>
      <c r="M46" s="13">
        <f>5.019707+0.711639</f>
        <v>5.7313460000000003</v>
      </c>
      <c r="N46" s="13">
        <v>8.1</v>
      </c>
      <c r="O46" s="13"/>
      <c r="P46" s="13">
        <v>11.3</v>
      </c>
      <c r="Q46" s="13">
        <v>16.2</v>
      </c>
      <c r="R46" s="13">
        <v>21.5</v>
      </c>
    </row>
    <row r="47" spans="1:18" x14ac:dyDescent="0.25">
      <c r="A47" s="9" t="s">
        <v>40</v>
      </c>
      <c r="B47" s="13" t="s">
        <v>57</v>
      </c>
      <c r="C47" s="13" t="s">
        <v>57</v>
      </c>
      <c r="D47" s="13" t="s">
        <v>57</v>
      </c>
      <c r="E47" s="13" t="s">
        <v>57</v>
      </c>
      <c r="F47" s="13" t="s">
        <v>57</v>
      </c>
      <c r="G47" s="13" t="s">
        <v>57</v>
      </c>
      <c r="H47" s="13" t="s">
        <v>57</v>
      </c>
      <c r="I47" s="13">
        <v>9.4496700000000003E-2</v>
      </c>
      <c r="J47" s="13">
        <v>0.15629190000000001</v>
      </c>
      <c r="K47" s="13">
        <v>0.27224209999999999</v>
      </c>
      <c r="L47" s="13">
        <v>0.25684845000000001</v>
      </c>
      <c r="M47" s="13">
        <v>0.52281089999999997</v>
      </c>
      <c r="N47" s="13">
        <v>0.73785670000000003</v>
      </c>
      <c r="O47" s="13"/>
      <c r="P47" s="13">
        <v>1</v>
      </c>
      <c r="Q47" s="13">
        <v>1.4</v>
      </c>
      <c r="R47" s="35">
        <v>1.5</v>
      </c>
    </row>
    <row r="48" spans="1:18" ht="27.75" hidden="1" x14ac:dyDescent="0.25">
      <c r="A48" s="38" t="s">
        <v>79</v>
      </c>
      <c r="B48" s="13" t="s">
        <v>36</v>
      </c>
      <c r="C48" s="13" t="s">
        <v>36</v>
      </c>
      <c r="D48" s="13" t="s">
        <v>36</v>
      </c>
      <c r="E48" s="13" t="s">
        <v>36</v>
      </c>
      <c r="F48" s="13" t="s">
        <v>37</v>
      </c>
      <c r="G48" s="13" t="s">
        <v>37</v>
      </c>
      <c r="H48" s="13" t="s">
        <v>37</v>
      </c>
      <c r="I48" s="13" t="s">
        <v>37</v>
      </c>
      <c r="J48" s="13" t="s">
        <v>37</v>
      </c>
      <c r="K48" s="13" t="s">
        <v>37</v>
      </c>
      <c r="L48" s="13" t="s">
        <v>37</v>
      </c>
      <c r="M48" s="13" t="s">
        <v>37</v>
      </c>
      <c r="N48" s="13" t="s">
        <v>37</v>
      </c>
      <c r="O48" s="13"/>
      <c r="P48" s="13" t="s">
        <v>37</v>
      </c>
      <c r="Q48" s="13"/>
      <c r="R48" s="35"/>
    </row>
    <row r="49" spans="1:18" ht="15.75" thickBot="1" x14ac:dyDescent="0.3">
      <c r="A49" s="15" t="s">
        <v>81</v>
      </c>
      <c r="B49" s="25">
        <f>B22</f>
        <v>5.5709999999999997</v>
      </c>
      <c r="C49" s="25">
        <f t="shared" ref="C49:E49" si="6">C22</f>
        <v>3.3039999999999998</v>
      </c>
      <c r="D49" s="25">
        <f t="shared" si="6"/>
        <v>2.5459999999999998</v>
      </c>
      <c r="E49" s="25">
        <f t="shared" si="6"/>
        <v>0.92</v>
      </c>
      <c r="F49" s="25">
        <f>F22+F29</f>
        <v>36.880000000000003</v>
      </c>
      <c r="G49" s="25">
        <f>G22+G29</f>
        <v>33.498999999999995</v>
      </c>
      <c r="H49" s="25">
        <f>H22+H27+H29</f>
        <v>38.314999999999998</v>
      </c>
      <c r="I49" s="25">
        <f>I22+I27+I29+I33</f>
        <v>38.4528447</v>
      </c>
      <c r="J49" s="25">
        <f t="shared" ref="J49:Q49" si="7">J22+J27+J29+J33</f>
        <v>39.891758899999999</v>
      </c>
      <c r="K49" s="25">
        <f t="shared" si="7"/>
        <v>36.898242099999997</v>
      </c>
      <c r="L49" s="25">
        <f t="shared" si="7"/>
        <v>44.017833450000005</v>
      </c>
      <c r="M49" s="25">
        <f t="shared" si="7"/>
        <v>59.769156899999999</v>
      </c>
      <c r="N49" s="25">
        <f t="shared" si="7"/>
        <v>60.426270700000003</v>
      </c>
      <c r="O49" s="25"/>
      <c r="P49" s="25">
        <f>P22+P27+P29+P33</f>
        <v>63.599999999999994</v>
      </c>
      <c r="Q49" s="25">
        <f t="shared" si="7"/>
        <v>83.3</v>
      </c>
      <c r="R49" s="25">
        <f>R22+R27+R29+R33</f>
        <v>85</v>
      </c>
    </row>
    <row r="50" spans="1:18" ht="111" customHeight="1" x14ac:dyDescent="0.25">
      <c r="A50" s="40" t="s">
        <v>83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spans="1:18" x14ac:dyDescent="0.25">
      <c r="A51" s="9"/>
      <c r="N51" s="2"/>
      <c r="O51" s="2"/>
      <c r="P51" s="2"/>
    </row>
    <row r="52" spans="1:18" x14ac:dyDescent="0.25">
      <c r="A52" s="9"/>
    </row>
    <row r="53" spans="1:18" x14ac:dyDescent="0.25">
      <c r="A53" s="9"/>
    </row>
    <row r="55" spans="1:18" ht="15" customHeight="1" x14ac:dyDescent="0.25">
      <c r="L55" s="2"/>
      <c r="M55" s="2"/>
      <c r="N55" s="2"/>
      <c r="O55" s="2"/>
      <c r="P55" s="2"/>
    </row>
    <row r="341" spans="1:1" ht="15" customHeight="1" x14ac:dyDescent="0.25">
      <c r="A341" s="17"/>
    </row>
  </sheetData>
  <mergeCells count="5">
    <mergeCell ref="A50:P50"/>
    <mergeCell ref="A2:L2"/>
    <mergeCell ref="A3:N3"/>
    <mergeCell ref="P20:R20"/>
    <mergeCell ref="B20:N20"/>
  </mergeCells>
  <phoneticPr fontId="1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RevenusEcofiscaux</vt:lpstr>
      <vt:lpstr>DepensesEcofiscales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récapitulatif des mesures écofiscales</dc:title>
  <dc:creator>Prunet, Henricke</dc:creator>
  <cp:keywords>Tableau récapitulatif des mesures écofiscales</cp:keywords>
  <cp:lastModifiedBy>Bourassa, France</cp:lastModifiedBy>
  <dcterms:created xsi:type="dcterms:W3CDTF">2024-02-12T15:36:41Z</dcterms:created>
  <dcterms:modified xsi:type="dcterms:W3CDTF">2026-07-13T18:41:22Z</dcterms:modified>
</cp:coreProperties>
</file>