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vironnementqc-my.sharepoint.com/personal/stephane_cantin_environnement_gouv_qc_ca/Documents/conseillères-collègues/Sarah Monaghan-Matthew/"/>
    </mc:Choice>
  </mc:AlternateContent>
  <xr:revisionPtr revIDLastSave="3" documentId="8_{741E87AF-3FB3-4DB1-B1CF-FF10A9E8F82F}" xr6:coauthVersionLast="47" xr6:coauthVersionMax="47" xr10:uidLastSave="{3B108A97-B55E-4924-B5B2-7E5316D9C24C}"/>
  <bookViews>
    <workbookView xWindow="-120" yWindow="-120" windowWidth="25440" windowHeight="15390" tabRatio="781" xr2:uid="{00000000-000D-0000-FFFF-FFFF00000000}"/>
  </bookViews>
  <sheets>
    <sheet name="1. Base de référence" sheetId="26" r:id="rId1"/>
    <sheet name="Feuil1" sheetId="25" state="hidden" r:id="rId2"/>
    <sheet name="Data2" sheetId="27" state="hidden" r:id="rId3"/>
    <sheet name="EntenteType" sheetId="28" state="hidden" r:id="rId4"/>
    <sheet name="2. Plan d'implantation" sheetId="4" state="hidden" r:id="rId5"/>
    <sheet name="4. Résultats plan implantation" sheetId="12" state="hidden" r:id="rId6"/>
    <sheet name="Data" sheetId="10" state="hidden" r:id="rId7"/>
    <sheet name="Code SCIAN" sheetId="24" state="hidden" r:id="rId8"/>
  </sheets>
  <definedNames>
    <definedName name="Action" localSheetId="2">Data2!$M$6:$M$11</definedName>
    <definedName name="Action">Data!$M$6:$M$11</definedName>
    <definedName name="Activite_Gestion_Dev" localSheetId="2">Data2!$A$174:$M$180</definedName>
    <definedName name="Activite_Gestion_Dev">Data!$A$174:$M$180</definedName>
    <definedName name="ActiviteTransportExport" localSheetId="2">Data2!$A$224:$AT$244</definedName>
    <definedName name="ActiviteTransportExport">Data!$A$224:$AT$244</definedName>
    <definedName name="Aide_dem" localSheetId="2">Data2!$A$26:$A$27</definedName>
    <definedName name="Aide_dem">Data!$A$26:$A$27</definedName>
    <definedName name="Aide_Fin_3a">#REF!</definedName>
    <definedName name="Aide_fin_3b">#REF!</definedName>
    <definedName name="Aide_fin_3c">#REF!</definedName>
    <definedName name="Aide_fin_3d">#REF!</definedName>
    <definedName name="Aide_fin_3e">#REF!</definedName>
    <definedName name="AnalExport" localSheetId="2">Data2!$A$133:$L$134</definedName>
    <definedName name="AnalExport">Data!$A$133:$L$134</definedName>
    <definedName name="Analyse" localSheetId="2">Data2!$L$56:$L$59</definedName>
    <definedName name="Analyse">Data!$L$56:$L$59</definedName>
    <definedName name="Appel" localSheetId="2">Data2!$B$7:$B$9</definedName>
    <definedName name="Appel">Data!$B$7:$B$9</definedName>
    <definedName name="Autes_Sites" localSheetId="2">Data2!$H$193:$R$222</definedName>
    <definedName name="Autes_Sites">Data!$H$193:$R$222</definedName>
    <definedName name="Autres_Sites" localSheetId="2">Data2!$G$193:$R$222</definedName>
    <definedName name="Autres_Sites">Data!$G$193:$R$222</definedName>
    <definedName name="Code_appel" localSheetId="2">Data2!$A$7:$B$8</definedName>
    <definedName name="Code_appel">Data!$A$7:$B$8</definedName>
    <definedName name="Connaissances" localSheetId="2">Data2!$T$56:$T$57</definedName>
    <definedName name="Connaissances">Data!$T$56:$T$57</definedName>
    <definedName name="Consomref" localSheetId="2">Data2!$A$158:$K$164</definedName>
    <definedName name="Consomref">Data!$A$158:$K$164</definedName>
    <definedName name="Conversion" localSheetId="2">Data2!$P$56:$P$59</definedName>
    <definedName name="Conversion">Data!$P$56:$P$59</definedName>
    <definedName name="Dep_3a">#REF!</definedName>
    <definedName name="Dep_3b">#REF!</definedName>
    <definedName name="Dep_3c">#REF!</definedName>
    <definedName name="Dep_3d">#REF!</definedName>
    <definedName name="Dep_3e">#REF!</definedName>
    <definedName name="Deploiement">#REF!</definedName>
    <definedName name="Deploiement2" localSheetId="2">Data2!$G$185:$O$190</definedName>
    <definedName name="Deploiement2">Data!$G$185:$O$190</definedName>
    <definedName name="DEVA" localSheetId="2">Data2!$P$30:$P$38</definedName>
    <definedName name="DEVA">Data!$P$30:$P$38</definedName>
    <definedName name="DEVB" localSheetId="2">Data2!$Z$30:$Z$35</definedName>
    <definedName name="DEVB">Data!$Z$30:$Z$35</definedName>
    <definedName name="Echeancier" localSheetId="2">Data2!$A$185:$F$205</definedName>
    <definedName name="Echeancier">Data!$A$185:$F$205</definedName>
    <definedName name="Eff_énergétique" localSheetId="2">Data2!$N$56</definedName>
    <definedName name="Eff_énergétique">Data!$N$56</definedName>
    <definedName name="Efficacité" localSheetId="2">Data2!$N$56</definedName>
    <definedName name="Efficacité">Data!$N$56</definedName>
    <definedName name="Émissions_fugitives" localSheetId="2">Data2!$V$56:$V$57</definedName>
    <definedName name="Émissions_fugitives">Data!$V$56:$V$57</definedName>
    <definedName name="Énergie" localSheetId="2">Data2!$B$75:$B$116</definedName>
    <definedName name="Énergie">Data!$B$75:$B$116</definedName>
    <definedName name="Energie_SEQ" localSheetId="2">Data2!$A$74:$X$117</definedName>
    <definedName name="Energie_SEQ">Data!$A$74:$X$117</definedName>
    <definedName name="EquipTranspoert" localSheetId="2">Data2!$AF$30:$AF$32</definedName>
    <definedName name="EquipTranspoert">Data!$AF$30:$AF$32</definedName>
    <definedName name="EquipTransportExport" localSheetId="2">Data2!$A$224:$T$226</definedName>
    <definedName name="EquipTransportExport">Data!$A$224:$T$226</definedName>
    <definedName name="Exportation" localSheetId="2">Data2!$A$1:$FY$2</definedName>
    <definedName name="Exportation">Data!$A$1:$FY$2</definedName>
    <definedName name="Fin_Autre" localSheetId="2">Data2!$B$29:$B$45</definedName>
    <definedName name="Fin_Autre">Data!$B$29:$B$45</definedName>
    <definedName name="Fin_autre2" localSheetId="2">Data2!$B$29:$C$44</definedName>
    <definedName name="Fin_autre2">Data!$B$29:$C$44</definedName>
    <definedName name="Fugitive" localSheetId="2">Data2!$AA$75:$AA$184</definedName>
    <definedName name="Fugitive">Data!$AA$75:$AA$184</definedName>
    <definedName name="GESA" localSheetId="2">Data2!$F$30:$F$34</definedName>
    <definedName name="GESA">Data!$F$30:$F$34</definedName>
    <definedName name="GESB" localSheetId="2">Data2!$K$30:$K$32</definedName>
    <definedName name="GESB">Data!$K$30:$K$32</definedName>
    <definedName name="Gestion" localSheetId="2">Data2!$R$56:$R$56</definedName>
    <definedName name="Gestion">Data!$R$56:$R$56</definedName>
    <definedName name="Gestion_d_énergie" localSheetId="2">Data2!$R$56</definedName>
    <definedName name="Gestion_d_énergie">Data!$R$56</definedName>
    <definedName name="Implantation">'2. Plan d''implantation'!$A$15:$AR$49</definedName>
    <definedName name="InnoDescType" localSheetId="2">Data2!$A$209:$D$217</definedName>
    <definedName name="InnoDescType">Data!$A$209:$D$217</definedName>
    <definedName name="Innovation" localSheetId="2">Data2!$J$56:$J$61</definedName>
    <definedName name="Innovation">Data!$J$56:$J$61</definedName>
    <definedName name="Montage_Fin" localSheetId="2">Data2!$A$149:$G$156</definedName>
    <definedName name="Montage_Fin">Data!$A$149:$G$156</definedName>
    <definedName name="Montage_Fin_Inno" localSheetId="2">Data2!$A$140:$K$147</definedName>
    <definedName name="Montage_Fin_Inno">Data!$A$140:$K$147</definedName>
    <definedName name="Nbremes" localSheetId="2">Data2!$FW$2</definedName>
    <definedName name="Nbremes">Data!$FW$2</definedName>
    <definedName name="NRJ" localSheetId="2">Data2!$A$74:$X$125</definedName>
    <definedName name="NRJ">Data!$A$74:$X$125</definedName>
    <definedName name="OPTER" localSheetId="2">Data2!$V$56:$V$57</definedName>
    <definedName name="OPTER">Data!$V$56:$V$57</definedName>
    <definedName name="Ordre" localSheetId="2">Data2!$D$6:$D$9</definedName>
    <definedName name="Ordre">Data!$D$6:$D$9</definedName>
    <definedName name="PRP" localSheetId="2">Data2!$AA$75:$AA$184</definedName>
    <definedName name="PRP">Data!$AA$75:$AA$184</definedName>
    <definedName name="Recom" localSheetId="2">Data2!$K$6:$K$9</definedName>
    <definedName name="Recom">Data!$K$6:$K$9</definedName>
    <definedName name="Refrigref" localSheetId="2">Data2!$A$166:$X$172</definedName>
    <definedName name="Refrigref">Data!$A$166:$X$172</definedName>
    <definedName name="Rep_Dep" localSheetId="2">Data2!$A$248:$H$254</definedName>
    <definedName name="Rep_Dep">Data!$A$248:$H$254</definedName>
    <definedName name="Rep_dep_Inno" localSheetId="2">Data2!$A$257:$F$262</definedName>
    <definedName name="Rep_dep_Inno">Data!$A$257:$F$262</definedName>
    <definedName name="ResImplantation">'4. Résultats plan implantation'!$A$15:$AN$49</definedName>
    <definedName name="Type_Aide" localSheetId="2">Data2!$G$16:$G$20</definedName>
    <definedName name="Type_Aide">Data!$G$16:$G$20</definedName>
    <definedName name="Type_emission" localSheetId="2">Data2!$I$6:$I$9</definedName>
    <definedName name="Type_emission">Data!$I$6:$I$9</definedName>
    <definedName name="Type_Entreprise">Data!$V$5:$V$23</definedName>
    <definedName name="Type_EntrepriseData2">Data2!$V$5:$V$27</definedName>
    <definedName name="Type_sys" localSheetId="2">Data2!$P$6:$P$7</definedName>
    <definedName name="Type_sys">Data!$P$6:$P$7</definedName>
    <definedName name="Unite" localSheetId="2">Data2!$B$47:$B$49</definedName>
    <definedName name="Unite">Data!$B$47:$B$49</definedName>
    <definedName name="Unite_Surface" localSheetId="2">Data2!$E$48:$E$49</definedName>
    <definedName name="Unite_Surface">Data!$E$48:$E$49</definedName>
    <definedName name="Volet" localSheetId="2">Data2!$F$6:$F$11</definedName>
    <definedName name="Volet">Data!$F$6:$F$11</definedName>
    <definedName name="_xlnm.Print_Area" localSheetId="4">'2. Plan d''implantation'!$A$1:$AF$65</definedName>
    <definedName name="_xlnm.Print_Area" localSheetId="5">'4. Résultats plan implantation'!$A$1:$AE$62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8" l="1"/>
  <c r="C55" i="28"/>
  <c r="C56" i="28"/>
  <c r="C57" i="28"/>
  <c r="C48" i="28"/>
  <c r="C49" i="28"/>
  <c r="C50" i="28"/>
  <c r="C51" i="28"/>
  <c r="C52" i="28"/>
  <c r="C53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71" i="28"/>
  <c r="C72" i="28"/>
  <c r="C73" i="28"/>
  <c r="C74" i="28"/>
  <c r="C11" i="28"/>
  <c r="C180" i="27"/>
  <c r="C179" i="10"/>
  <c r="C178" i="27"/>
  <c r="C177" i="10"/>
  <c r="C176" i="10"/>
  <c r="C175" i="10"/>
  <c r="L170" i="10"/>
  <c r="K164" i="10"/>
  <c r="K163" i="27"/>
  <c r="K162" i="27"/>
  <c r="K161" i="10"/>
  <c r="K160" i="10"/>
  <c r="EF2" i="27"/>
  <c r="G254" i="27"/>
  <c r="F254" i="27"/>
  <c r="G253" i="27"/>
  <c r="F253" i="27"/>
  <c r="G252" i="27"/>
  <c r="F252" i="27"/>
  <c r="G251" i="27"/>
  <c r="F251" i="27"/>
  <c r="G250" i="27"/>
  <c r="F250" i="27"/>
  <c r="G249" i="27"/>
  <c r="F249" i="27"/>
  <c r="N222" i="27"/>
  <c r="M222" i="27"/>
  <c r="L222" i="27"/>
  <c r="K222" i="27"/>
  <c r="J222" i="27"/>
  <c r="I222" i="27"/>
  <c r="H222" i="27"/>
  <c r="N221" i="27"/>
  <c r="M221" i="27"/>
  <c r="L221" i="27"/>
  <c r="K221" i="27"/>
  <c r="J221" i="27"/>
  <c r="I221" i="27"/>
  <c r="H221" i="27"/>
  <c r="N220" i="27"/>
  <c r="M220" i="27"/>
  <c r="L220" i="27"/>
  <c r="K220" i="27"/>
  <c r="J220" i="27"/>
  <c r="I220" i="27"/>
  <c r="H220" i="27"/>
  <c r="N219" i="27"/>
  <c r="M219" i="27"/>
  <c r="L219" i="27"/>
  <c r="K219" i="27"/>
  <c r="J219" i="27"/>
  <c r="I219" i="27"/>
  <c r="H219" i="27"/>
  <c r="N218" i="27"/>
  <c r="M218" i="27"/>
  <c r="L218" i="27"/>
  <c r="K218" i="27"/>
  <c r="J218" i="27"/>
  <c r="I218" i="27"/>
  <c r="H218" i="27"/>
  <c r="N217" i="27"/>
  <c r="M217" i="27"/>
  <c r="L217" i="27"/>
  <c r="K217" i="27"/>
  <c r="J217" i="27"/>
  <c r="I217" i="27"/>
  <c r="H217" i="27"/>
  <c r="N216" i="27"/>
  <c r="M216" i="27"/>
  <c r="L216" i="27"/>
  <c r="K216" i="27"/>
  <c r="J216" i="27"/>
  <c r="I216" i="27"/>
  <c r="H216" i="27"/>
  <c r="N215" i="27"/>
  <c r="M215" i="27"/>
  <c r="L215" i="27"/>
  <c r="K215" i="27"/>
  <c r="J215" i="27"/>
  <c r="I215" i="27"/>
  <c r="H215" i="27"/>
  <c r="N214" i="27"/>
  <c r="M214" i="27"/>
  <c r="L214" i="27"/>
  <c r="K214" i="27"/>
  <c r="J214" i="27"/>
  <c r="I214" i="27"/>
  <c r="H214" i="27"/>
  <c r="N213" i="27"/>
  <c r="M213" i="27"/>
  <c r="L213" i="27"/>
  <c r="K213" i="27"/>
  <c r="J213" i="27"/>
  <c r="I213" i="27"/>
  <c r="H213" i="27"/>
  <c r="N212" i="27"/>
  <c r="M212" i="27"/>
  <c r="L212" i="27"/>
  <c r="K212" i="27"/>
  <c r="J212" i="27"/>
  <c r="I212" i="27"/>
  <c r="H212" i="27"/>
  <c r="N211" i="27"/>
  <c r="M211" i="27"/>
  <c r="L211" i="27"/>
  <c r="K211" i="27"/>
  <c r="J211" i="27"/>
  <c r="I211" i="27"/>
  <c r="H211" i="27"/>
  <c r="N210" i="27"/>
  <c r="M210" i="27"/>
  <c r="L210" i="27"/>
  <c r="K210" i="27"/>
  <c r="J210" i="27"/>
  <c r="I210" i="27"/>
  <c r="H210" i="27"/>
  <c r="N209" i="27"/>
  <c r="M209" i="27"/>
  <c r="L209" i="27"/>
  <c r="K209" i="27"/>
  <c r="J209" i="27"/>
  <c r="I209" i="27"/>
  <c r="H209" i="27"/>
  <c r="N208" i="27"/>
  <c r="M208" i="27"/>
  <c r="L208" i="27"/>
  <c r="K208" i="27"/>
  <c r="J208" i="27"/>
  <c r="I208" i="27"/>
  <c r="H208" i="27"/>
  <c r="N207" i="27"/>
  <c r="M207" i="27"/>
  <c r="L207" i="27"/>
  <c r="K207" i="27"/>
  <c r="J207" i="27"/>
  <c r="I207" i="27"/>
  <c r="H207" i="27"/>
  <c r="N206" i="27"/>
  <c r="M206" i="27"/>
  <c r="L206" i="27"/>
  <c r="K206" i="27"/>
  <c r="J206" i="27"/>
  <c r="I206" i="27"/>
  <c r="H206" i="27"/>
  <c r="N205" i="27"/>
  <c r="M205" i="27"/>
  <c r="L205" i="27"/>
  <c r="K205" i="27"/>
  <c r="J205" i="27"/>
  <c r="I205" i="27"/>
  <c r="H205" i="27"/>
  <c r="N204" i="27"/>
  <c r="M204" i="27"/>
  <c r="L204" i="27"/>
  <c r="K204" i="27"/>
  <c r="J204" i="27"/>
  <c r="I204" i="27"/>
  <c r="H204" i="27"/>
  <c r="N203" i="27"/>
  <c r="M203" i="27"/>
  <c r="L203" i="27"/>
  <c r="K203" i="27"/>
  <c r="J203" i="27"/>
  <c r="I203" i="27"/>
  <c r="H203" i="27"/>
  <c r="N202" i="27"/>
  <c r="M202" i="27"/>
  <c r="L202" i="27"/>
  <c r="K202" i="27"/>
  <c r="J202" i="27"/>
  <c r="I202" i="27"/>
  <c r="H202" i="27"/>
  <c r="N201" i="27"/>
  <c r="M201" i="27"/>
  <c r="L201" i="27"/>
  <c r="K201" i="27"/>
  <c r="J201" i="27"/>
  <c r="I201" i="27"/>
  <c r="H201" i="27"/>
  <c r="N200" i="27"/>
  <c r="M200" i="27"/>
  <c r="L200" i="27"/>
  <c r="K200" i="27"/>
  <c r="J200" i="27"/>
  <c r="I200" i="27"/>
  <c r="H200" i="27"/>
  <c r="N199" i="27"/>
  <c r="M199" i="27"/>
  <c r="L199" i="27"/>
  <c r="K199" i="27"/>
  <c r="J199" i="27"/>
  <c r="I199" i="27"/>
  <c r="H199" i="27"/>
  <c r="N198" i="27"/>
  <c r="M198" i="27"/>
  <c r="L198" i="27"/>
  <c r="K198" i="27"/>
  <c r="J198" i="27"/>
  <c r="I198" i="27"/>
  <c r="H198" i="27"/>
  <c r="N197" i="27"/>
  <c r="M197" i="27"/>
  <c r="L197" i="27"/>
  <c r="K197" i="27"/>
  <c r="J197" i="27"/>
  <c r="I197" i="27"/>
  <c r="H197" i="27"/>
  <c r="N196" i="27"/>
  <c r="M196" i="27"/>
  <c r="L196" i="27"/>
  <c r="K196" i="27"/>
  <c r="J196" i="27"/>
  <c r="I196" i="27"/>
  <c r="H196" i="27"/>
  <c r="N195" i="27"/>
  <c r="M195" i="27"/>
  <c r="L195" i="27"/>
  <c r="K195" i="27"/>
  <c r="J195" i="27"/>
  <c r="I195" i="27"/>
  <c r="H195" i="27"/>
  <c r="N194" i="27"/>
  <c r="M194" i="27"/>
  <c r="L194" i="27"/>
  <c r="K194" i="27"/>
  <c r="J194" i="27"/>
  <c r="I194" i="27"/>
  <c r="H194" i="27"/>
  <c r="K180" i="27"/>
  <c r="J180" i="27"/>
  <c r="H180" i="27"/>
  <c r="G180" i="27"/>
  <c r="D180" i="27"/>
  <c r="M180" i="27" s="1"/>
  <c r="B180" i="27"/>
  <c r="K179" i="27"/>
  <c r="J179" i="27"/>
  <c r="H179" i="27"/>
  <c r="G179" i="27"/>
  <c r="D179" i="27"/>
  <c r="M179" i="27" s="1"/>
  <c r="B179" i="27"/>
  <c r="K178" i="27"/>
  <c r="J178" i="27"/>
  <c r="H178" i="27"/>
  <c r="G178" i="27"/>
  <c r="D178" i="27"/>
  <c r="M178" i="27" s="1"/>
  <c r="B178" i="27"/>
  <c r="K177" i="27"/>
  <c r="J177" i="27"/>
  <c r="H177" i="27"/>
  <c r="G177" i="27"/>
  <c r="D177" i="27"/>
  <c r="M177" i="27" s="1"/>
  <c r="B177" i="27"/>
  <c r="K176" i="27"/>
  <c r="J176" i="27"/>
  <c r="H176" i="27"/>
  <c r="G176" i="27"/>
  <c r="D176" i="27"/>
  <c r="M176" i="27" s="1"/>
  <c r="B176" i="27"/>
  <c r="K175" i="27"/>
  <c r="J175" i="27"/>
  <c r="H175" i="27"/>
  <c r="G175" i="27"/>
  <c r="D175" i="27"/>
  <c r="L175" i="27" s="1"/>
  <c r="B175" i="27"/>
  <c r="V172" i="27"/>
  <c r="U172" i="27" s="1"/>
  <c r="T172" i="27"/>
  <c r="Q172" i="27"/>
  <c r="R172" i="27" s="1"/>
  <c r="O172" i="27"/>
  <c r="K172" i="27"/>
  <c r="J172" i="27" s="1"/>
  <c r="I172" i="27"/>
  <c r="F172" i="27"/>
  <c r="E172" i="27" s="1"/>
  <c r="D172" i="27"/>
  <c r="C172" i="27"/>
  <c r="B172" i="27"/>
  <c r="V171" i="27"/>
  <c r="U171" i="27" s="1"/>
  <c r="T171" i="27"/>
  <c r="Q171" i="27"/>
  <c r="R171" i="27" s="1"/>
  <c r="O171" i="27"/>
  <c r="K171" i="27"/>
  <c r="J171" i="27" s="1"/>
  <c r="I171" i="27"/>
  <c r="F171" i="27"/>
  <c r="E171" i="27" s="1"/>
  <c r="D171" i="27"/>
  <c r="C171" i="27"/>
  <c r="B171" i="27"/>
  <c r="V170" i="27"/>
  <c r="U170" i="27" s="1"/>
  <c r="T170" i="27"/>
  <c r="Q170" i="27"/>
  <c r="R170" i="27" s="1"/>
  <c r="O170" i="27"/>
  <c r="K170" i="27"/>
  <c r="J170" i="27" s="1"/>
  <c r="I170" i="27"/>
  <c r="F170" i="27"/>
  <c r="E170" i="27" s="1"/>
  <c r="D170" i="27"/>
  <c r="C170" i="27"/>
  <c r="B170" i="27"/>
  <c r="V169" i="27"/>
  <c r="U169" i="27" s="1"/>
  <c r="T169" i="27"/>
  <c r="Q169" i="27"/>
  <c r="P169" i="27" s="1"/>
  <c r="O169" i="27"/>
  <c r="K169" i="27"/>
  <c r="J169" i="27" s="1"/>
  <c r="I169" i="27"/>
  <c r="F169" i="27"/>
  <c r="E169" i="27" s="1"/>
  <c r="D169" i="27"/>
  <c r="C169" i="27"/>
  <c r="B169" i="27"/>
  <c r="V168" i="27"/>
  <c r="U168" i="27" s="1"/>
  <c r="T168" i="27"/>
  <c r="Q168" i="27"/>
  <c r="P168" i="27" s="1"/>
  <c r="O168" i="27"/>
  <c r="K168" i="27"/>
  <c r="J168" i="27" s="1"/>
  <c r="I168" i="27"/>
  <c r="F168" i="27"/>
  <c r="E168" i="27" s="1"/>
  <c r="D168" i="27"/>
  <c r="C168" i="27"/>
  <c r="B168" i="27"/>
  <c r="V167" i="27"/>
  <c r="U167" i="27" s="1"/>
  <c r="T167" i="27"/>
  <c r="Q167" i="27"/>
  <c r="R167" i="27" s="1"/>
  <c r="O167" i="27"/>
  <c r="K167" i="27"/>
  <c r="J167" i="27" s="1"/>
  <c r="I167" i="27"/>
  <c r="F167" i="27"/>
  <c r="G167" i="27" s="1"/>
  <c r="D167" i="27"/>
  <c r="C167" i="27"/>
  <c r="B167" i="27"/>
  <c r="G164" i="27"/>
  <c r="F164" i="27"/>
  <c r="E164" i="27"/>
  <c r="C164" i="27"/>
  <c r="G163" i="27"/>
  <c r="F163" i="27"/>
  <c r="E163" i="27"/>
  <c r="C163" i="27"/>
  <c r="G162" i="27"/>
  <c r="F162" i="27"/>
  <c r="E162" i="27"/>
  <c r="C162" i="27"/>
  <c r="G161" i="27"/>
  <c r="F161" i="27"/>
  <c r="E161" i="27"/>
  <c r="C161" i="27"/>
  <c r="G160" i="27"/>
  <c r="F160" i="27"/>
  <c r="E160" i="27"/>
  <c r="C160" i="27"/>
  <c r="G159" i="27"/>
  <c r="F159" i="27"/>
  <c r="E159" i="27"/>
  <c r="C159" i="27"/>
  <c r="F156" i="27"/>
  <c r="E156" i="27"/>
  <c r="D156" i="27"/>
  <c r="C156" i="27"/>
  <c r="F155" i="27"/>
  <c r="E155" i="27"/>
  <c r="D155" i="27"/>
  <c r="C155" i="27"/>
  <c r="F154" i="27"/>
  <c r="E154" i="27"/>
  <c r="D154" i="27"/>
  <c r="C154" i="27"/>
  <c r="F153" i="27"/>
  <c r="E153" i="27"/>
  <c r="D153" i="27"/>
  <c r="C153" i="27"/>
  <c r="F152" i="27"/>
  <c r="E152" i="27"/>
  <c r="D152" i="27"/>
  <c r="C152" i="27"/>
  <c r="F151" i="27"/>
  <c r="E151" i="27"/>
  <c r="C151" i="27"/>
  <c r="F150" i="27"/>
  <c r="E150" i="27"/>
  <c r="D150" i="27"/>
  <c r="C150" i="27"/>
  <c r="L134" i="27"/>
  <c r="J134" i="27"/>
  <c r="E134" i="27"/>
  <c r="D134" i="27"/>
  <c r="C134" i="27"/>
  <c r="B134" i="27"/>
  <c r="C49" i="27"/>
  <c r="AD30" i="27"/>
  <c r="DQ3" i="27"/>
  <c r="DQ2" i="27" s="1"/>
  <c r="FY2" i="27"/>
  <c r="FX2" i="27"/>
  <c r="FP2" i="27"/>
  <c r="FO2" i="27"/>
  <c r="FN2" i="27"/>
  <c r="FM2" i="27"/>
  <c r="FL2" i="27"/>
  <c r="FK2" i="27"/>
  <c r="FJ2" i="27"/>
  <c r="FI2" i="27"/>
  <c r="FH2" i="27"/>
  <c r="FG2" i="27"/>
  <c r="FF2" i="27"/>
  <c r="FD2" i="27"/>
  <c r="FC2" i="27"/>
  <c r="FB2" i="27"/>
  <c r="FA2" i="27"/>
  <c r="EZ2" i="27"/>
  <c r="EY2" i="27"/>
  <c r="EX2" i="27"/>
  <c r="EW2" i="27"/>
  <c r="EV2" i="27"/>
  <c r="ET2" i="27"/>
  <c r="ES2" i="27"/>
  <c r="ER2" i="27"/>
  <c r="EQ2" i="27"/>
  <c r="EP2" i="27"/>
  <c r="EO2" i="27"/>
  <c r="EN2" i="27"/>
  <c r="EM2" i="27"/>
  <c r="EL2" i="27"/>
  <c r="EK2" i="27"/>
  <c r="EJ2" i="27"/>
  <c r="EI2" i="27"/>
  <c r="EH2" i="27"/>
  <c r="EG2" i="27"/>
  <c r="EE2" i="27"/>
  <c r="ED2" i="27"/>
  <c r="EC2" i="27"/>
  <c r="EB2" i="27"/>
  <c r="EA2" i="27"/>
  <c r="DZ2" i="27"/>
  <c r="DY2" i="27"/>
  <c r="DR2" i="27"/>
  <c r="DP2" i="27"/>
  <c r="F134" i="27" s="1"/>
  <c r="DO2" i="27"/>
  <c r="DN2" i="27"/>
  <c r="DM2" i="27"/>
  <c r="DL2" i="27"/>
  <c r="DK2" i="27"/>
  <c r="DJ2" i="27"/>
  <c r="DI2" i="27"/>
  <c r="DF2" i="27"/>
  <c r="DE2" i="27"/>
  <c r="DD2" i="27"/>
  <c r="DC2" i="27"/>
  <c r="DB2" i="27"/>
  <c r="DA2" i="27"/>
  <c r="CZ2" i="27"/>
  <c r="CY2" i="27"/>
  <c r="CX2" i="27"/>
  <c r="CW2" i="27"/>
  <c r="CV2" i="27"/>
  <c r="CU2" i="27"/>
  <c r="CT2" i="27"/>
  <c r="CS2" i="27"/>
  <c r="CR2" i="27"/>
  <c r="CQ2" i="27"/>
  <c r="CM2" i="27"/>
  <c r="CL2" i="27"/>
  <c r="CK2" i="27"/>
  <c r="CJ2" i="27"/>
  <c r="CI2" i="27"/>
  <c r="CH2" i="27"/>
  <c r="CG2" i="27"/>
  <c r="CF2" i="27"/>
  <c r="CE2" i="27"/>
  <c r="CD2" i="27"/>
  <c r="CC2" i="27"/>
  <c r="CB2" i="27"/>
  <c r="CA2" i="27"/>
  <c r="BZ2" i="27"/>
  <c r="BY2" i="27"/>
  <c r="BX2" i="27"/>
  <c r="BT2" i="27"/>
  <c r="BS2" i="27"/>
  <c r="BR2" i="27"/>
  <c r="BQ2" i="27"/>
  <c r="BP2" i="27"/>
  <c r="BO2" i="27"/>
  <c r="BN2" i="27"/>
  <c r="BM2" i="27"/>
  <c r="BL2" i="27"/>
  <c r="BK2" i="27"/>
  <c r="BJ2" i="27"/>
  <c r="BI2" i="27"/>
  <c r="BH2" i="27"/>
  <c r="BG2" i="27"/>
  <c r="BC2" i="27"/>
  <c r="BB2" i="27"/>
  <c r="BA2" i="27"/>
  <c r="AZ2" i="27"/>
  <c r="AY2" i="27"/>
  <c r="AX2" i="27"/>
  <c r="AW2" i="27"/>
  <c r="AV2" i="27"/>
  <c r="AU2" i="27"/>
  <c r="AT2" i="27"/>
  <c r="AS2" i="27"/>
  <c r="AR2" i="27"/>
  <c r="AQ2" i="27"/>
  <c r="AP2" i="27"/>
  <c r="AM2" i="27"/>
  <c r="AL2" i="27"/>
  <c r="AK2" i="27"/>
  <c r="AJ2" i="27"/>
  <c r="AI2" i="27"/>
  <c r="AH2" i="27"/>
  <c r="AG2" i="27"/>
  <c r="AE2" i="27"/>
  <c r="AD2" i="27"/>
  <c r="AC2" i="27"/>
  <c r="AB2" i="27"/>
  <c r="AA2" i="27"/>
  <c r="Z2" i="27"/>
  <c r="Y2" i="27"/>
  <c r="X2" i="27"/>
  <c r="W2" i="27"/>
  <c r="V2" i="27"/>
  <c r="U2" i="27"/>
  <c r="T2" i="27"/>
  <c r="S2" i="27"/>
  <c r="R2" i="27"/>
  <c r="Q2" i="27"/>
  <c r="P2" i="27"/>
  <c r="O2" i="27"/>
  <c r="N2" i="27"/>
  <c r="M2" i="27"/>
  <c r="L2" i="27"/>
  <c r="K2" i="27"/>
  <c r="J2" i="27"/>
  <c r="I2" i="27"/>
  <c r="H2" i="27"/>
  <c r="G2" i="27"/>
  <c r="F2" i="27"/>
  <c r="E2" i="27"/>
  <c r="D2" i="27"/>
  <c r="C2" i="27"/>
  <c r="B2" i="27"/>
  <c r="EF2" i="10"/>
  <c r="C134" i="10"/>
  <c r="L134" i="10"/>
  <c r="D134" i="10"/>
  <c r="DQ3" i="10"/>
  <c r="DQ2" i="10" s="1"/>
  <c r="B134" i="10"/>
  <c r="FY2" i="10"/>
  <c r="FX2" i="10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AF49" i="12"/>
  <c r="AL49" i="12" s="1"/>
  <c r="AF48" i="12"/>
  <c r="AL48" i="12" s="1"/>
  <c r="AF47" i="12"/>
  <c r="AL47" i="12" s="1"/>
  <c r="AF46" i="12"/>
  <c r="AL46" i="12" s="1"/>
  <c r="AF45" i="12"/>
  <c r="AL45" i="12" s="1"/>
  <c r="AF44" i="12"/>
  <c r="AM44" i="12" s="1"/>
  <c r="AF43" i="12"/>
  <c r="AL43" i="12" s="1"/>
  <c r="AF42" i="12"/>
  <c r="AL42" i="12" s="1"/>
  <c r="AF41" i="12"/>
  <c r="AL41" i="12" s="1"/>
  <c r="AF40" i="12"/>
  <c r="AL40" i="12" s="1"/>
  <c r="AF39" i="12"/>
  <c r="AL39" i="12" s="1"/>
  <c r="AF38" i="12"/>
  <c r="AL38" i="12" s="1"/>
  <c r="AF37" i="12"/>
  <c r="AM37" i="12" s="1"/>
  <c r="AF36" i="12"/>
  <c r="AL36" i="12" s="1"/>
  <c r="AF35" i="12"/>
  <c r="AM35" i="12" s="1"/>
  <c r="AF34" i="12"/>
  <c r="AL34" i="12" s="1"/>
  <c r="AF33" i="12"/>
  <c r="AM33" i="12" s="1"/>
  <c r="AF32" i="12"/>
  <c r="AL32" i="12" s="1"/>
  <c r="AF31" i="12"/>
  <c r="AM31" i="12" s="1"/>
  <c r="AF30" i="12"/>
  <c r="AL30" i="12" s="1"/>
  <c r="AF29" i="12"/>
  <c r="AL29" i="12" s="1"/>
  <c r="AF28" i="12"/>
  <c r="AL28" i="12" s="1"/>
  <c r="AF27" i="12"/>
  <c r="AL27" i="12" s="1"/>
  <c r="AF26" i="12"/>
  <c r="AL26" i="12" s="1"/>
  <c r="AF25" i="12"/>
  <c r="AL25" i="12" s="1"/>
  <c r="AF24" i="12"/>
  <c r="AM24" i="12" s="1"/>
  <c r="AF23" i="12"/>
  <c r="AL23" i="12" s="1"/>
  <c r="AF22" i="12"/>
  <c r="AL22" i="12" s="1"/>
  <c r="AF21" i="12"/>
  <c r="AL21" i="12" s="1"/>
  <c r="AF20" i="12"/>
  <c r="AL20" i="12" s="1"/>
  <c r="AF19" i="12"/>
  <c r="AL19" i="12" s="1"/>
  <c r="AF18" i="12"/>
  <c r="AM18" i="12" s="1"/>
  <c r="AF17" i="12"/>
  <c r="AL17" i="12" s="1"/>
  <c r="AF16" i="12"/>
  <c r="AM16" i="12" s="1"/>
  <c r="AH49" i="4"/>
  <c r="AP49" i="4" s="1"/>
  <c r="AH48" i="4"/>
  <c r="AQ48" i="4" s="1"/>
  <c r="AH47" i="4"/>
  <c r="AQ47" i="4" s="1"/>
  <c r="AH46" i="4"/>
  <c r="AP46" i="4" s="1"/>
  <c r="AH45" i="4"/>
  <c r="AP45" i="4" s="1"/>
  <c r="AH44" i="4"/>
  <c r="AQ44" i="4" s="1"/>
  <c r="AH43" i="4"/>
  <c r="AP43" i="4" s="1"/>
  <c r="AH42" i="4"/>
  <c r="AP42" i="4" s="1"/>
  <c r="AH41" i="4"/>
  <c r="AP41" i="4" s="1"/>
  <c r="AH40" i="4"/>
  <c r="AP40" i="4" s="1"/>
  <c r="AH39" i="4"/>
  <c r="AQ39" i="4" s="1"/>
  <c r="AH38" i="4"/>
  <c r="AP38" i="4" s="1"/>
  <c r="AH37" i="4"/>
  <c r="AP37" i="4" s="1"/>
  <c r="AH36" i="4"/>
  <c r="AP36" i="4" s="1"/>
  <c r="AH35" i="4"/>
  <c r="AQ35" i="4" s="1"/>
  <c r="AH34" i="4"/>
  <c r="AP34" i="4" s="1"/>
  <c r="AH33" i="4"/>
  <c r="AP33" i="4" s="1"/>
  <c r="AH32" i="4"/>
  <c r="AP32" i="4" s="1"/>
  <c r="AH31" i="4"/>
  <c r="AP31" i="4" s="1"/>
  <c r="AH30" i="4"/>
  <c r="AQ30" i="4" s="1"/>
  <c r="AH29" i="4"/>
  <c r="AP29" i="4" s="1"/>
  <c r="AH28" i="4"/>
  <c r="AP28" i="4" s="1"/>
  <c r="AH27" i="4"/>
  <c r="AP27" i="4" s="1"/>
  <c r="AH26" i="4"/>
  <c r="AQ26" i="4" s="1"/>
  <c r="AH25" i="4"/>
  <c r="AP25" i="4" s="1"/>
  <c r="AH24" i="4"/>
  <c r="AP24" i="4" s="1"/>
  <c r="AH23" i="4"/>
  <c r="AP23" i="4" s="1"/>
  <c r="AH22" i="4"/>
  <c r="AP22" i="4" s="1"/>
  <c r="AH21" i="4"/>
  <c r="AQ21" i="4" s="1"/>
  <c r="AH20" i="4"/>
  <c r="AQ20" i="4" s="1"/>
  <c r="AH19" i="4"/>
  <c r="AQ19" i="4" s="1"/>
  <c r="AH18" i="4"/>
  <c r="AQ18" i="4" s="1"/>
  <c r="AH17" i="4"/>
  <c r="AP17" i="4" s="1"/>
  <c r="AH16" i="4"/>
  <c r="AQ16" i="4" s="1"/>
  <c r="DP2" i="10"/>
  <c r="F134" i="10" s="1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B8" i="4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DZ2" i="10"/>
  <c r="EA2" i="10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D30" i="10"/>
  <c r="AJ49" i="12"/>
  <c r="AJ48" i="12"/>
  <c r="AJ47" i="12"/>
  <c r="AJ46" i="12"/>
  <c r="AJ45" i="12"/>
  <c r="AJ44" i="12"/>
  <c r="AJ43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J22" i="12"/>
  <c r="AJ21" i="12"/>
  <c r="AJ20" i="12"/>
  <c r="AJ19" i="12"/>
  <c r="AJ18" i="12"/>
  <c r="AJ17" i="12"/>
  <c r="AJ16" i="12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G16" i="4"/>
  <c r="EJ2" i="10"/>
  <c r="H251" i="10"/>
  <c r="H252" i="27"/>
  <c r="H253" i="27"/>
  <c r="H254" i="27"/>
  <c r="H249" i="27"/>
  <c r="G250" i="10"/>
  <c r="G251" i="10"/>
  <c r="G252" i="10"/>
  <c r="G253" i="10"/>
  <c r="G254" i="10"/>
  <c r="G249" i="10"/>
  <c r="F250" i="10"/>
  <c r="F251" i="10"/>
  <c r="F252" i="10"/>
  <c r="F253" i="10"/>
  <c r="F254" i="10"/>
  <c r="F249" i="10"/>
  <c r="B250" i="27"/>
  <c r="B251" i="27"/>
  <c r="B252" i="10"/>
  <c r="B253" i="27"/>
  <c r="B254" i="27"/>
  <c r="B249" i="27"/>
  <c r="AN49" i="12"/>
  <c r="AN48" i="12"/>
  <c r="AN47" i="12"/>
  <c r="AN46" i="12"/>
  <c r="AN45" i="12"/>
  <c r="AN44" i="12"/>
  <c r="AN43" i="12"/>
  <c r="AN42" i="12"/>
  <c r="AN41" i="12"/>
  <c r="AN40" i="12"/>
  <c r="AN39" i="12"/>
  <c r="AN38" i="12"/>
  <c r="AN37" i="12"/>
  <c r="AN36" i="12"/>
  <c r="AN35" i="12"/>
  <c r="AN34" i="12"/>
  <c r="AN33" i="12"/>
  <c r="AN32" i="12"/>
  <c r="AN31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K49" i="12"/>
  <c r="AK48" i="12"/>
  <c r="AK47" i="12"/>
  <c r="AK46" i="12"/>
  <c r="AK45" i="12"/>
  <c r="AK44" i="12"/>
  <c r="AK43" i="12"/>
  <c r="AK42" i="12"/>
  <c r="AK41" i="12"/>
  <c r="AK40" i="12"/>
  <c r="AK39" i="12"/>
  <c r="AK38" i="12"/>
  <c r="AK37" i="12"/>
  <c r="AK36" i="12"/>
  <c r="AK35" i="12"/>
  <c r="AK34" i="12"/>
  <c r="AK33" i="12"/>
  <c r="AK32" i="12"/>
  <c r="AK31" i="12"/>
  <c r="AK30" i="12"/>
  <c r="AK29" i="12"/>
  <c r="AK28" i="12"/>
  <c r="AK27" i="12"/>
  <c r="AK26" i="12"/>
  <c r="AK25" i="12"/>
  <c r="AK24" i="12"/>
  <c r="AK23" i="12"/>
  <c r="AK22" i="12"/>
  <c r="AK21" i="12"/>
  <c r="AK20" i="12"/>
  <c r="AK19" i="12"/>
  <c r="AK18" i="12"/>
  <c r="AK17" i="12"/>
  <c r="AK16" i="12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G49" i="12"/>
  <c r="AG48" i="12"/>
  <c r="AG47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I16" i="4"/>
  <c r="C253" i="27"/>
  <c r="D67" i="27"/>
  <c r="D251" i="27"/>
  <c r="D250" i="10"/>
  <c r="C250" i="27"/>
  <c r="D249" i="27"/>
  <c r="C249" i="10"/>
  <c r="C69" i="27"/>
  <c r="C66" i="27"/>
  <c r="J160" i="10"/>
  <c r="H159" i="27"/>
  <c r="K159" i="10"/>
  <c r="K176" i="10"/>
  <c r="K177" i="10"/>
  <c r="K178" i="10"/>
  <c r="K179" i="10"/>
  <c r="K180" i="10"/>
  <c r="K175" i="10"/>
  <c r="G180" i="10"/>
  <c r="G179" i="10"/>
  <c r="G178" i="10"/>
  <c r="G177" i="10"/>
  <c r="G176" i="10"/>
  <c r="G175" i="10"/>
  <c r="I180" i="10"/>
  <c r="I179" i="10"/>
  <c r="I178" i="10"/>
  <c r="I177" i="10"/>
  <c r="I176" i="10"/>
  <c r="C8" i="4"/>
  <c r="C8" i="12" s="1"/>
  <c r="B2" i="10"/>
  <c r="C2" i="10"/>
  <c r="D2" i="10"/>
  <c r="E2" i="10"/>
  <c r="F2" i="10"/>
  <c r="G2" i="10"/>
  <c r="H2" i="10"/>
  <c r="DR2" i="10"/>
  <c r="FM2" i="10"/>
  <c r="FL2" i="10"/>
  <c r="FK2" i="10"/>
  <c r="FJ2" i="10"/>
  <c r="FI2" i="10"/>
  <c r="FH2" i="10"/>
  <c r="FG2" i="10"/>
  <c r="FF2" i="10"/>
  <c r="FC2" i="10"/>
  <c r="FB2" i="10"/>
  <c r="FA2" i="10"/>
  <c r="EZ2" i="10"/>
  <c r="EY2" i="10"/>
  <c r="EX2" i="10"/>
  <c r="EW2" i="10"/>
  <c r="EV2" i="10"/>
  <c r="ES2" i="10"/>
  <c r="ER2" i="10"/>
  <c r="EQ2" i="10"/>
  <c r="EP2" i="10"/>
  <c r="EO2" i="10"/>
  <c r="EN2" i="10"/>
  <c r="EM2" i="10"/>
  <c r="EL2" i="10"/>
  <c r="EK2" i="10"/>
  <c r="H162" i="10"/>
  <c r="H163" i="10"/>
  <c r="E134" i="10"/>
  <c r="J134" i="10"/>
  <c r="U2" i="10"/>
  <c r="R2" i="10"/>
  <c r="S168" i="10"/>
  <c r="S170" i="27"/>
  <c r="X171" i="27"/>
  <c r="S172" i="27"/>
  <c r="DO2" i="10"/>
  <c r="DN2" i="10"/>
  <c r="DM2" i="10"/>
  <c r="DL2" i="10"/>
  <c r="DK2" i="10"/>
  <c r="DJ2" i="10"/>
  <c r="DI2" i="10"/>
  <c r="B176" i="10"/>
  <c r="B177" i="10"/>
  <c r="B178" i="10"/>
  <c r="B179" i="10"/>
  <c r="B180" i="10"/>
  <c r="B175" i="10"/>
  <c r="V172" i="10"/>
  <c r="U172" i="10" s="1"/>
  <c r="V171" i="10"/>
  <c r="U171" i="10" s="1"/>
  <c r="V170" i="10"/>
  <c r="U170" i="10" s="1"/>
  <c r="V169" i="10"/>
  <c r="U169" i="10" s="1"/>
  <c r="V168" i="10"/>
  <c r="U168" i="10" s="1"/>
  <c r="V167" i="10"/>
  <c r="U167" i="10" s="1"/>
  <c r="Q172" i="10"/>
  <c r="P172" i="10" s="1"/>
  <c r="Q171" i="10"/>
  <c r="P171" i="10" s="1"/>
  <c r="Q170" i="10"/>
  <c r="R170" i="10" s="1"/>
  <c r="Q169" i="10"/>
  <c r="R169" i="10" s="1"/>
  <c r="Q168" i="10"/>
  <c r="P168" i="10" s="1"/>
  <c r="Q167" i="10"/>
  <c r="P167" i="10" s="1"/>
  <c r="K168" i="10"/>
  <c r="J168" i="10" s="1"/>
  <c r="K169" i="10"/>
  <c r="J169" i="10" s="1"/>
  <c r="K170" i="10"/>
  <c r="J170" i="10" s="1"/>
  <c r="K171" i="10"/>
  <c r="J171" i="10" s="1"/>
  <c r="K172" i="10"/>
  <c r="J172" i="10" s="1"/>
  <c r="K167" i="10"/>
  <c r="J167" i="10" s="1"/>
  <c r="I172" i="10"/>
  <c r="I171" i="10"/>
  <c r="I170" i="10"/>
  <c r="I169" i="10"/>
  <c r="I168" i="10"/>
  <c r="I167" i="10"/>
  <c r="F172" i="10"/>
  <c r="E172" i="10" s="1"/>
  <c r="F171" i="10"/>
  <c r="E171" i="10" s="1"/>
  <c r="F170" i="10"/>
  <c r="E170" i="10" s="1"/>
  <c r="F169" i="10"/>
  <c r="E169" i="10" s="1"/>
  <c r="F168" i="10"/>
  <c r="E168" i="10" s="1"/>
  <c r="F167" i="10"/>
  <c r="E167" i="10" s="1"/>
  <c r="H167" i="27"/>
  <c r="M167" i="27"/>
  <c r="C172" i="10"/>
  <c r="C171" i="10"/>
  <c r="C170" i="10"/>
  <c r="C169" i="10"/>
  <c r="C168" i="10"/>
  <c r="C167" i="10"/>
  <c r="H221" i="10"/>
  <c r="I221" i="10"/>
  <c r="J221" i="10"/>
  <c r="K221" i="10"/>
  <c r="L221" i="10"/>
  <c r="M221" i="10"/>
  <c r="N221" i="10"/>
  <c r="O221" i="27"/>
  <c r="P221" i="10"/>
  <c r="Q221" i="10"/>
  <c r="R221" i="10"/>
  <c r="H222" i="10"/>
  <c r="I222" i="10"/>
  <c r="J222" i="10"/>
  <c r="K222" i="10"/>
  <c r="L222" i="10"/>
  <c r="M222" i="10"/>
  <c r="N222" i="10"/>
  <c r="O222" i="27"/>
  <c r="P222" i="10"/>
  <c r="Q222" i="10"/>
  <c r="R222" i="27"/>
  <c r="D176" i="10"/>
  <c r="M176" i="10" s="1"/>
  <c r="D177" i="10"/>
  <c r="L177" i="10" s="1"/>
  <c r="D178" i="10"/>
  <c r="L178" i="10" s="1"/>
  <c r="D179" i="10"/>
  <c r="L179" i="10" s="1"/>
  <c r="D180" i="10"/>
  <c r="M180" i="10" s="1"/>
  <c r="D175" i="10"/>
  <c r="L175" i="10" s="1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I212" i="10"/>
  <c r="O168" i="10"/>
  <c r="T168" i="10"/>
  <c r="O169" i="10"/>
  <c r="T169" i="10"/>
  <c r="O170" i="10"/>
  <c r="T170" i="10"/>
  <c r="O171" i="10"/>
  <c r="T171" i="10"/>
  <c r="O172" i="10"/>
  <c r="T172" i="10"/>
  <c r="T167" i="10"/>
  <c r="O167" i="10"/>
  <c r="H168" i="27"/>
  <c r="H169" i="27"/>
  <c r="H171" i="10"/>
  <c r="H172" i="27"/>
  <c r="C49" i="10"/>
  <c r="D172" i="10"/>
  <c r="D171" i="10"/>
  <c r="D170" i="10"/>
  <c r="D169" i="10"/>
  <c r="D168" i="10"/>
  <c r="D167" i="10"/>
  <c r="B172" i="10"/>
  <c r="B171" i="10"/>
  <c r="B170" i="10"/>
  <c r="B169" i="10"/>
  <c r="B168" i="10"/>
  <c r="B167" i="10"/>
  <c r="J176" i="10"/>
  <c r="J177" i="10"/>
  <c r="J178" i="10"/>
  <c r="J179" i="10"/>
  <c r="J180" i="10"/>
  <c r="J175" i="10"/>
  <c r="I175" i="10"/>
  <c r="H176" i="10"/>
  <c r="H177" i="10"/>
  <c r="H178" i="10"/>
  <c r="H179" i="10"/>
  <c r="H180" i="10"/>
  <c r="H175" i="10"/>
  <c r="EC2" i="10"/>
  <c r="EB2" i="10"/>
  <c r="DY2" i="10"/>
  <c r="O220" i="27"/>
  <c r="O219" i="27"/>
  <c r="O218" i="10"/>
  <c r="O217" i="27"/>
  <c r="O216" i="27"/>
  <c r="O215" i="10"/>
  <c r="O214" i="10"/>
  <c r="O213" i="27"/>
  <c r="O212" i="27"/>
  <c r="O211" i="27"/>
  <c r="O210" i="10"/>
  <c r="O209" i="27"/>
  <c r="O208" i="10"/>
  <c r="O207" i="10"/>
  <c r="O206" i="27"/>
  <c r="O205" i="10"/>
  <c r="O204" i="27"/>
  <c r="O203" i="27"/>
  <c r="O202" i="27"/>
  <c r="O201" i="10"/>
  <c r="O200" i="27"/>
  <c r="O199" i="10"/>
  <c r="O198" i="27"/>
  <c r="O197" i="10"/>
  <c r="O196" i="10"/>
  <c r="O195" i="10"/>
  <c r="O194" i="27"/>
  <c r="I195" i="10"/>
  <c r="J195" i="10"/>
  <c r="K195" i="10"/>
  <c r="L195" i="10"/>
  <c r="M195" i="10"/>
  <c r="N195" i="10"/>
  <c r="P195" i="27"/>
  <c r="Q195" i="10"/>
  <c r="R195" i="27"/>
  <c r="I196" i="10"/>
  <c r="J196" i="10"/>
  <c r="K196" i="10"/>
  <c r="L196" i="10"/>
  <c r="M196" i="10"/>
  <c r="N196" i="10"/>
  <c r="P196" i="27"/>
  <c r="Q196" i="27"/>
  <c r="R196" i="27"/>
  <c r="I197" i="10"/>
  <c r="J197" i="10"/>
  <c r="K197" i="10"/>
  <c r="L197" i="10"/>
  <c r="M197" i="10"/>
  <c r="N197" i="10"/>
  <c r="P197" i="10"/>
  <c r="Q197" i="10"/>
  <c r="R197" i="27"/>
  <c r="I198" i="10"/>
  <c r="J198" i="10"/>
  <c r="K198" i="10"/>
  <c r="L198" i="10"/>
  <c r="M198" i="10"/>
  <c r="N198" i="10"/>
  <c r="P198" i="10"/>
  <c r="Q198" i="27"/>
  <c r="R198" i="10"/>
  <c r="I199" i="10"/>
  <c r="J199" i="10"/>
  <c r="K199" i="10"/>
  <c r="L199" i="10"/>
  <c r="M199" i="10"/>
  <c r="N199" i="10"/>
  <c r="P199" i="10"/>
  <c r="Q199" i="27"/>
  <c r="R199" i="27"/>
  <c r="I200" i="10"/>
  <c r="J200" i="10"/>
  <c r="K200" i="10"/>
  <c r="L200" i="10"/>
  <c r="M200" i="10"/>
  <c r="N200" i="10"/>
  <c r="P200" i="10"/>
  <c r="Q200" i="10"/>
  <c r="R200" i="27"/>
  <c r="I201" i="10"/>
  <c r="J201" i="10"/>
  <c r="K201" i="10"/>
  <c r="L201" i="10"/>
  <c r="M201" i="10"/>
  <c r="N201" i="10"/>
  <c r="P201" i="27"/>
  <c r="Q201" i="27"/>
  <c r="R201" i="27"/>
  <c r="I202" i="10"/>
  <c r="J202" i="10"/>
  <c r="K202" i="10"/>
  <c r="L202" i="10"/>
  <c r="M202" i="10"/>
  <c r="N202" i="10"/>
  <c r="P202" i="10"/>
  <c r="Q202" i="10"/>
  <c r="R202" i="27"/>
  <c r="I203" i="10"/>
  <c r="J203" i="10"/>
  <c r="K203" i="10"/>
  <c r="L203" i="10"/>
  <c r="M203" i="10"/>
  <c r="N203" i="10"/>
  <c r="P203" i="27"/>
  <c r="Q203" i="10"/>
  <c r="R203" i="27"/>
  <c r="I204" i="10"/>
  <c r="J204" i="10"/>
  <c r="K204" i="10"/>
  <c r="L204" i="10"/>
  <c r="M204" i="10"/>
  <c r="N204" i="10"/>
  <c r="P204" i="10"/>
  <c r="Q204" i="27"/>
  <c r="R204" i="27"/>
  <c r="R204" i="10"/>
  <c r="I205" i="10"/>
  <c r="J205" i="10"/>
  <c r="K205" i="10"/>
  <c r="L205" i="10"/>
  <c r="M205" i="10"/>
  <c r="N205" i="10"/>
  <c r="P205" i="27"/>
  <c r="Q205" i="27"/>
  <c r="R205" i="27"/>
  <c r="I206" i="10"/>
  <c r="J206" i="10"/>
  <c r="K206" i="10"/>
  <c r="L206" i="10"/>
  <c r="M206" i="10"/>
  <c r="N206" i="10"/>
  <c r="P206" i="27"/>
  <c r="Q206" i="10"/>
  <c r="R206" i="27"/>
  <c r="I207" i="10"/>
  <c r="J207" i="10"/>
  <c r="K207" i="10"/>
  <c r="L207" i="10"/>
  <c r="M207" i="10"/>
  <c r="N207" i="10"/>
  <c r="P207" i="27"/>
  <c r="Q207" i="27"/>
  <c r="R207" i="27"/>
  <c r="I208" i="10"/>
  <c r="J208" i="10"/>
  <c r="K208" i="10"/>
  <c r="L208" i="10"/>
  <c r="M208" i="10"/>
  <c r="N208" i="10"/>
  <c r="P208" i="10"/>
  <c r="Q208" i="27"/>
  <c r="R208" i="27"/>
  <c r="I209" i="10"/>
  <c r="J209" i="10"/>
  <c r="K209" i="10"/>
  <c r="L209" i="10"/>
  <c r="M209" i="10"/>
  <c r="N209" i="10"/>
  <c r="P209" i="10"/>
  <c r="Q209" i="27"/>
  <c r="R209" i="27"/>
  <c r="I210" i="10"/>
  <c r="J210" i="10"/>
  <c r="K210" i="10"/>
  <c r="L210" i="10"/>
  <c r="M210" i="10"/>
  <c r="N210" i="10"/>
  <c r="P210" i="27"/>
  <c r="Q210" i="10"/>
  <c r="R210" i="27"/>
  <c r="R210" i="10"/>
  <c r="I211" i="10"/>
  <c r="J211" i="10"/>
  <c r="K211" i="10"/>
  <c r="L211" i="10"/>
  <c r="M211" i="10"/>
  <c r="N211" i="10"/>
  <c r="P211" i="27"/>
  <c r="Q211" i="27"/>
  <c r="R211" i="27"/>
  <c r="J212" i="10"/>
  <c r="K212" i="10"/>
  <c r="L212" i="10"/>
  <c r="M212" i="10"/>
  <c r="N212" i="10"/>
  <c r="P212" i="27"/>
  <c r="Q212" i="27"/>
  <c r="R212" i="27"/>
  <c r="R212" i="10"/>
  <c r="I213" i="10"/>
  <c r="J213" i="10"/>
  <c r="K213" i="10"/>
  <c r="L213" i="10"/>
  <c r="M213" i="10"/>
  <c r="N213" i="10"/>
  <c r="P213" i="10"/>
  <c r="Q213" i="27"/>
  <c r="R213" i="27"/>
  <c r="I214" i="10"/>
  <c r="J214" i="10"/>
  <c r="K214" i="10"/>
  <c r="L214" i="10"/>
  <c r="M214" i="10"/>
  <c r="N214" i="10"/>
  <c r="P214" i="10"/>
  <c r="Q214" i="10"/>
  <c r="R214" i="10"/>
  <c r="I215" i="10"/>
  <c r="J215" i="10"/>
  <c r="K215" i="10"/>
  <c r="L215" i="10"/>
  <c r="M215" i="10"/>
  <c r="N215" i="10"/>
  <c r="P215" i="10"/>
  <c r="Q215" i="27"/>
  <c r="R215" i="27"/>
  <c r="I216" i="10"/>
  <c r="J216" i="10"/>
  <c r="K216" i="10"/>
  <c r="L216" i="10"/>
  <c r="M216" i="10"/>
  <c r="N216" i="10"/>
  <c r="P216" i="10"/>
  <c r="Q216" i="27"/>
  <c r="R216" i="10"/>
  <c r="I217" i="10"/>
  <c r="J217" i="10"/>
  <c r="K217" i="10"/>
  <c r="L217" i="10"/>
  <c r="M217" i="10"/>
  <c r="N217" i="10"/>
  <c r="P217" i="10"/>
  <c r="Q217" i="27"/>
  <c r="R217" i="10"/>
  <c r="I218" i="10"/>
  <c r="J218" i="10"/>
  <c r="K218" i="10"/>
  <c r="L218" i="10"/>
  <c r="M218" i="10"/>
  <c r="N218" i="10"/>
  <c r="P218" i="10"/>
  <c r="Q218" i="27"/>
  <c r="R218" i="10"/>
  <c r="I219" i="10"/>
  <c r="J219" i="10"/>
  <c r="K219" i="10"/>
  <c r="L219" i="10"/>
  <c r="M219" i="10"/>
  <c r="N219" i="10"/>
  <c r="P219" i="10"/>
  <c r="Q219" i="27"/>
  <c r="R219" i="27"/>
  <c r="R219" i="10"/>
  <c r="I220" i="10"/>
  <c r="J220" i="10"/>
  <c r="K220" i="10"/>
  <c r="L220" i="10"/>
  <c r="M220" i="10"/>
  <c r="N220" i="10"/>
  <c r="P220" i="10"/>
  <c r="Q220" i="27"/>
  <c r="R220" i="27"/>
  <c r="R194" i="27"/>
  <c r="Q194" i="10"/>
  <c r="P194" i="10"/>
  <c r="N194" i="10"/>
  <c r="M194" i="10"/>
  <c r="L194" i="10"/>
  <c r="K194" i="10"/>
  <c r="J194" i="10"/>
  <c r="I194" i="10"/>
  <c r="H202" i="10"/>
  <c r="H201" i="10"/>
  <c r="H200" i="10"/>
  <c r="H199" i="10"/>
  <c r="H198" i="10"/>
  <c r="H197" i="10"/>
  <c r="H196" i="10"/>
  <c r="H195" i="10"/>
  <c r="H194" i="10"/>
  <c r="I160" i="10"/>
  <c r="I161" i="10"/>
  <c r="I162" i="10"/>
  <c r="I163" i="10"/>
  <c r="I164" i="10"/>
  <c r="I159" i="27"/>
  <c r="G160" i="10"/>
  <c r="G161" i="10"/>
  <c r="G162" i="10"/>
  <c r="G163" i="10"/>
  <c r="G164" i="10"/>
  <c r="G159" i="10"/>
  <c r="F160" i="10"/>
  <c r="F161" i="10"/>
  <c r="F162" i="10"/>
  <c r="F163" i="10"/>
  <c r="F164" i="10"/>
  <c r="F159" i="10"/>
  <c r="E160" i="10"/>
  <c r="E161" i="10"/>
  <c r="E162" i="10"/>
  <c r="E163" i="10"/>
  <c r="E164" i="10"/>
  <c r="E159" i="10"/>
  <c r="D160" i="27"/>
  <c r="D161" i="27"/>
  <c r="D162" i="27"/>
  <c r="D163" i="10"/>
  <c r="D164" i="10"/>
  <c r="D159" i="10"/>
  <c r="C160" i="10"/>
  <c r="C161" i="10"/>
  <c r="C162" i="10"/>
  <c r="C163" i="10"/>
  <c r="C164" i="10"/>
  <c r="B164" i="27"/>
  <c r="B163" i="10"/>
  <c r="B162" i="10"/>
  <c r="B161" i="27"/>
  <c r="B160" i="27"/>
  <c r="B159" i="10"/>
  <c r="B151" i="10"/>
  <c r="B152" i="10"/>
  <c r="B153" i="10"/>
  <c r="B154" i="27"/>
  <c r="B155" i="10"/>
  <c r="B156" i="27"/>
  <c r="B150" i="10"/>
  <c r="C159" i="10"/>
  <c r="G151" i="27"/>
  <c r="G152" i="10"/>
  <c r="G153" i="27"/>
  <c r="G154" i="10"/>
  <c r="G155" i="10"/>
  <c r="G156" i="27"/>
  <c r="G150" i="10"/>
  <c r="F151" i="10"/>
  <c r="F152" i="10"/>
  <c r="F153" i="10"/>
  <c r="F154" i="10"/>
  <c r="F155" i="10"/>
  <c r="F156" i="10"/>
  <c r="F150" i="10"/>
  <c r="E151" i="10"/>
  <c r="E152" i="10"/>
  <c r="E153" i="10"/>
  <c r="E154" i="10"/>
  <c r="E155" i="10"/>
  <c r="E156" i="10"/>
  <c r="E150" i="10"/>
  <c r="D156" i="10"/>
  <c r="D155" i="10"/>
  <c r="D154" i="10"/>
  <c r="D153" i="10"/>
  <c r="D152" i="10"/>
  <c r="D151" i="27"/>
  <c r="D150" i="10"/>
  <c r="C156" i="10"/>
  <c r="C155" i="10"/>
  <c r="C154" i="10"/>
  <c r="C153" i="10"/>
  <c r="C152" i="10"/>
  <c r="C151" i="10"/>
  <c r="C150" i="10"/>
  <c r="AE2" i="10"/>
  <c r="AD2" i="10"/>
  <c r="AC2" i="10"/>
  <c r="AB2" i="10"/>
  <c r="AA2" i="10"/>
  <c r="Z2" i="10"/>
  <c r="Y2" i="10"/>
  <c r="X2" i="10"/>
  <c r="W2" i="10"/>
  <c r="V2" i="10"/>
  <c r="T2" i="10"/>
  <c r="O2" i="10"/>
  <c r="N2" i="10"/>
  <c r="M2" i="10"/>
  <c r="L2" i="10"/>
  <c r="K2" i="10"/>
  <c r="J2" i="10"/>
  <c r="I2" i="10"/>
  <c r="S2" i="10"/>
  <c r="Q2" i="10"/>
  <c r="P2" i="10"/>
  <c r="FO2" i="10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16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69" i="27"/>
  <c r="A68" i="27"/>
  <c r="A67" i="27"/>
  <c r="A66" i="27"/>
  <c r="A65" i="10"/>
  <c r="A64" i="10"/>
  <c r="FP2" i="10"/>
  <c r="FN2" i="10"/>
  <c r="FD2" i="10"/>
  <c r="ET2" i="10"/>
  <c r="EE2" i="10"/>
  <c r="ED2" i="10"/>
  <c r="DF2" i="10"/>
  <c r="DE2" i="10"/>
  <c r="DD2" i="10"/>
  <c r="DC2" i="10"/>
  <c r="DB2" i="10"/>
  <c r="DA2" i="10"/>
  <c r="CZ2" i="10"/>
  <c r="CY2" i="10"/>
  <c r="CX2" i="10"/>
  <c r="CW2" i="10"/>
  <c r="CV2" i="10"/>
  <c r="CU2" i="10"/>
  <c r="CT2" i="10"/>
  <c r="CS2" i="10"/>
  <c r="CR2" i="10"/>
  <c r="CQ2" i="10"/>
  <c r="CM2" i="10"/>
  <c r="CL2" i="10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J2" i="10"/>
  <c r="AS2" i="10"/>
  <c r="BT2" i="10"/>
  <c r="BS2" i="10"/>
  <c r="BR2" i="10"/>
  <c r="BQ2" i="10"/>
  <c r="BP2" i="10"/>
  <c r="BO2" i="10"/>
  <c r="BN2" i="10"/>
  <c r="BM2" i="10"/>
  <c r="BL2" i="10"/>
  <c r="BK2" i="10"/>
  <c r="BI2" i="10"/>
  <c r="BH2" i="10"/>
  <c r="BG2" i="10"/>
  <c r="BC2" i="10"/>
  <c r="BB2" i="10"/>
  <c r="BA2" i="10"/>
  <c r="AZ2" i="10"/>
  <c r="AY2" i="10"/>
  <c r="AX2" i="10"/>
  <c r="AV2" i="10"/>
  <c r="AW2" i="10"/>
  <c r="AU2" i="10"/>
  <c r="AT2" i="10"/>
  <c r="AR2" i="10"/>
  <c r="AQ2" i="10"/>
  <c r="AP2" i="10"/>
  <c r="AM2" i="10"/>
  <c r="AL2" i="10"/>
  <c r="AK2" i="10"/>
  <c r="AJ2" i="10"/>
  <c r="AI2" i="10"/>
  <c r="AH2" i="10"/>
  <c r="AG2" i="10"/>
  <c r="C9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AC49" i="12"/>
  <c r="AC48" i="12"/>
  <c r="AC47" i="12"/>
  <c r="AC46" i="12"/>
  <c r="AC45" i="12"/>
  <c r="AC44" i="12"/>
  <c r="AC43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E49" i="12"/>
  <c r="AE48" i="12"/>
  <c r="AE47" i="12"/>
  <c r="AE46" i="12"/>
  <c r="AE45" i="12"/>
  <c r="AE44" i="12"/>
  <c r="AE43" i="12"/>
  <c r="AE42" i="12"/>
  <c r="AE41" i="12"/>
  <c r="AE40" i="12"/>
  <c r="AE39" i="12"/>
  <c r="AE38" i="12"/>
  <c r="AE37" i="1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D19" i="12"/>
  <c r="AE19" i="12"/>
  <c r="AD18" i="12"/>
  <c r="AE18" i="12"/>
  <c r="AD17" i="12"/>
  <c r="AE17" i="12"/>
  <c r="AD16" i="12"/>
  <c r="AE16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U50" i="12"/>
  <c r="T50" i="12"/>
  <c r="S50" i="12"/>
  <c r="R50" i="12"/>
  <c r="Q50" i="12"/>
  <c r="N50" i="12"/>
  <c r="N50" i="4"/>
  <c r="S50" i="4"/>
  <c r="R50" i="4"/>
  <c r="U50" i="4"/>
  <c r="T50" i="4"/>
  <c r="Q50" i="4"/>
  <c r="EG2" i="10"/>
  <c r="EH2" i="10"/>
  <c r="EI2" i="10"/>
  <c r="M171" i="10"/>
  <c r="M169" i="10"/>
  <c r="M168" i="10"/>
  <c r="D67" i="10"/>
  <c r="W167" i="10"/>
  <c r="L171" i="10"/>
  <c r="W169" i="10"/>
  <c r="W170" i="10"/>
  <c r="L169" i="10"/>
  <c r="E64" i="10"/>
  <c r="M170" i="10"/>
  <c r="M172" i="10"/>
  <c r="M167" i="10"/>
  <c r="L168" i="10"/>
  <c r="W168" i="10"/>
  <c r="B252" i="27"/>
  <c r="K159" i="27"/>
  <c r="W170" i="27"/>
  <c r="W168" i="27"/>
  <c r="L170" i="27"/>
  <c r="L168" i="27"/>
  <c r="L169" i="27"/>
  <c r="W169" i="27"/>
  <c r="M171" i="27"/>
  <c r="W171" i="27"/>
  <c r="M168" i="27"/>
  <c r="M169" i="27"/>
  <c r="M172" i="27"/>
  <c r="B64" i="27" l="1"/>
  <c r="B64" i="10"/>
  <c r="R199" i="10"/>
  <c r="D64" i="27"/>
  <c r="R194" i="10"/>
  <c r="A67" i="10"/>
  <c r="R208" i="10"/>
  <c r="R220" i="10"/>
  <c r="R203" i="10"/>
  <c r="R222" i="10"/>
  <c r="A66" i="10"/>
  <c r="R207" i="10"/>
  <c r="R196" i="10"/>
  <c r="R206" i="10"/>
  <c r="E65" i="27"/>
  <c r="D251" i="10"/>
  <c r="C253" i="10"/>
  <c r="D69" i="27"/>
  <c r="D69" i="10"/>
  <c r="E69" i="27"/>
  <c r="E69" i="10"/>
  <c r="L167" i="27"/>
  <c r="W167" i="27"/>
  <c r="W172" i="10"/>
  <c r="L172" i="27"/>
  <c r="L171" i="27"/>
  <c r="W171" i="10"/>
  <c r="A68" i="10"/>
  <c r="R211" i="10"/>
  <c r="R202" i="10"/>
  <c r="X167" i="27"/>
  <c r="E68" i="10"/>
  <c r="D249" i="10"/>
  <c r="C249" i="27"/>
  <c r="N170" i="27"/>
  <c r="C254" i="10"/>
  <c r="E250" i="27"/>
  <c r="M170" i="27"/>
  <c r="W172" i="27"/>
  <c r="L172" i="10"/>
  <c r="E65" i="10"/>
  <c r="R215" i="10"/>
  <c r="R200" i="10"/>
  <c r="R195" i="10"/>
  <c r="E249" i="27"/>
  <c r="C250" i="10"/>
  <c r="D250" i="27"/>
  <c r="L167" i="10"/>
  <c r="DS2" i="27"/>
  <c r="L180" i="27"/>
  <c r="L176" i="27"/>
  <c r="B68" i="27"/>
  <c r="B68" i="10"/>
  <c r="C68" i="10"/>
  <c r="C68" i="27"/>
  <c r="C65" i="10"/>
  <c r="C65" i="27"/>
  <c r="K160" i="27"/>
  <c r="L179" i="27"/>
  <c r="K161" i="27"/>
  <c r="G153" i="10"/>
  <c r="G154" i="27"/>
  <c r="K163" i="10"/>
  <c r="G155" i="27"/>
  <c r="B249" i="10"/>
  <c r="H253" i="10"/>
  <c r="P170" i="27"/>
  <c r="G150" i="27"/>
  <c r="H252" i="10"/>
  <c r="K162" i="10"/>
  <c r="B251" i="10"/>
  <c r="AA8" i="12"/>
  <c r="C180" i="10"/>
  <c r="F180" i="10" s="1"/>
  <c r="E167" i="27"/>
  <c r="C178" i="10"/>
  <c r="F178" i="10" s="1"/>
  <c r="D151" i="10"/>
  <c r="P172" i="27"/>
  <c r="I177" i="27"/>
  <c r="I180" i="27"/>
  <c r="L176" i="10"/>
  <c r="L177" i="27"/>
  <c r="C177" i="27"/>
  <c r="F177" i="27" s="1"/>
  <c r="P170" i="10"/>
  <c r="L178" i="27"/>
  <c r="I175" i="27"/>
  <c r="P167" i="27"/>
  <c r="M177" i="10"/>
  <c r="I179" i="27"/>
  <c r="L180" i="10"/>
  <c r="I176" i="27"/>
  <c r="C179" i="27"/>
  <c r="F179" i="27" s="1"/>
  <c r="AQ31" i="4"/>
  <c r="AM49" i="12"/>
  <c r="M178" i="10"/>
  <c r="I178" i="27"/>
  <c r="R168" i="27"/>
  <c r="G167" i="10"/>
  <c r="DS2" i="10"/>
  <c r="M175" i="10"/>
  <c r="M179" i="10"/>
  <c r="AM42" i="12"/>
  <c r="AM34" i="12"/>
  <c r="P171" i="27"/>
  <c r="AQ28" i="4"/>
  <c r="P169" i="10"/>
  <c r="AM29" i="12"/>
  <c r="C175" i="27"/>
  <c r="F175" i="27" s="1"/>
  <c r="AM21" i="12"/>
  <c r="AP39" i="4"/>
  <c r="AL37" i="12"/>
  <c r="S171" i="27"/>
  <c r="AQ45" i="4"/>
  <c r="AL35" i="12"/>
  <c r="AM27" i="12"/>
  <c r="AM43" i="12"/>
  <c r="S167" i="27"/>
  <c r="R172" i="10"/>
  <c r="R168" i="10"/>
  <c r="H160" i="27"/>
  <c r="N171" i="10"/>
  <c r="O214" i="27"/>
  <c r="O206" i="10"/>
  <c r="Q198" i="10"/>
  <c r="O220" i="10"/>
  <c r="H160" i="10"/>
  <c r="O212" i="10"/>
  <c r="Q207" i="10"/>
  <c r="H171" i="27"/>
  <c r="O204" i="10"/>
  <c r="AQ40" i="4"/>
  <c r="G151" i="10"/>
  <c r="P220" i="27"/>
  <c r="H167" i="10"/>
  <c r="O222" i="10"/>
  <c r="P219" i="27"/>
  <c r="Q197" i="27"/>
  <c r="B151" i="27"/>
  <c r="D161" i="10"/>
  <c r="O195" i="27"/>
  <c r="O210" i="27"/>
  <c r="O194" i="10"/>
  <c r="Q213" i="10"/>
  <c r="AM38" i="12"/>
  <c r="Q195" i="27"/>
  <c r="H163" i="27"/>
  <c r="AQ32" i="4"/>
  <c r="X170" i="10"/>
  <c r="AM30" i="12"/>
  <c r="Q215" i="10"/>
  <c r="AQ17" i="4"/>
  <c r="Q209" i="10"/>
  <c r="S169" i="10"/>
  <c r="AP16" i="4"/>
  <c r="AM46" i="12"/>
  <c r="S169" i="27"/>
  <c r="J163" i="27"/>
  <c r="AQ33" i="4"/>
  <c r="Q214" i="27"/>
  <c r="AL31" i="12"/>
  <c r="B156" i="10"/>
  <c r="B161" i="10"/>
  <c r="AM23" i="12"/>
  <c r="O211" i="10"/>
  <c r="P213" i="27"/>
  <c r="AP19" i="4"/>
  <c r="B154" i="10"/>
  <c r="P208" i="27"/>
  <c r="AQ27" i="4"/>
  <c r="Q219" i="10"/>
  <c r="AP35" i="4"/>
  <c r="Q203" i="27"/>
  <c r="AL24" i="12"/>
  <c r="AP21" i="4"/>
  <c r="O215" i="27"/>
  <c r="AQ36" i="4"/>
  <c r="I162" i="27"/>
  <c r="O207" i="27"/>
  <c r="S172" i="10"/>
  <c r="X172" i="10"/>
  <c r="AM39" i="12"/>
  <c r="S171" i="10"/>
  <c r="H170" i="10"/>
  <c r="AQ22" i="4"/>
  <c r="P216" i="27"/>
  <c r="B155" i="27"/>
  <c r="AL18" i="12"/>
  <c r="P212" i="10"/>
  <c r="B163" i="27"/>
  <c r="AP30" i="4"/>
  <c r="P222" i="27"/>
  <c r="P197" i="27"/>
  <c r="B162" i="27"/>
  <c r="Q202" i="27"/>
  <c r="Q211" i="10"/>
  <c r="O199" i="27"/>
  <c r="Q210" i="27"/>
  <c r="AQ37" i="4"/>
  <c r="B66" i="27"/>
  <c r="B66" i="10"/>
  <c r="B69" i="27"/>
  <c r="B69" i="10"/>
  <c r="C252" i="10"/>
  <c r="C252" i="27"/>
  <c r="D252" i="27"/>
  <c r="D252" i="10"/>
  <c r="C64" i="27"/>
  <c r="C64" i="10"/>
  <c r="B67" i="27"/>
  <c r="B67" i="10"/>
  <c r="D66" i="10"/>
  <c r="D66" i="27"/>
  <c r="C67" i="10"/>
  <c r="C67" i="27"/>
  <c r="B65" i="10"/>
  <c r="A65" i="27"/>
  <c r="A69" i="10"/>
  <c r="G156" i="10"/>
  <c r="G152" i="27"/>
  <c r="P214" i="27"/>
  <c r="R213" i="10"/>
  <c r="R209" i="10"/>
  <c r="R205" i="10"/>
  <c r="R201" i="10"/>
  <c r="R197" i="10"/>
  <c r="R167" i="10"/>
  <c r="R171" i="10"/>
  <c r="C66" i="10"/>
  <c r="C69" i="10"/>
  <c r="B253" i="10"/>
  <c r="H254" i="10"/>
  <c r="H250" i="10"/>
  <c r="P50" i="4"/>
  <c r="P50" i="12"/>
  <c r="R169" i="27"/>
  <c r="M175" i="27"/>
  <c r="R198" i="27"/>
  <c r="R214" i="27"/>
  <c r="R216" i="27"/>
  <c r="R217" i="27"/>
  <c r="R218" i="27"/>
  <c r="R221" i="27"/>
  <c r="C254" i="27"/>
  <c r="K164" i="27"/>
  <c r="E64" i="27"/>
  <c r="H162" i="27"/>
  <c r="AQ25" i="4"/>
  <c r="X168" i="10"/>
  <c r="D64" i="10"/>
  <c r="F176" i="10"/>
  <c r="A64" i="27"/>
  <c r="H251" i="27"/>
  <c r="P221" i="27"/>
  <c r="AM25" i="12"/>
  <c r="AM17" i="12"/>
  <c r="P215" i="27"/>
  <c r="AQ41" i="4"/>
  <c r="H250" i="27"/>
  <c r="B254" i="10"/>
  <c r="B250" i="10"/>
  <c r="H249" i="10"/>
  <c r="AQ29" i="4"/>
  <c r="B65" i="27"/>
  <c r="AP44" i="4"/>
  <c r="H161" i="10"/>
  <c r="AM45" i="12"/>
  <c r="X169" i="27"/>
  <c r="X169" i="10"/>
  <c r="AP20" i="4"/>
  <c r="P207" i="10"/>
  <c r="AL33" i="12"/>
  <c r="Q217" i="10"/>
  <c r="B159" i="27"/>
  <c r="Q194" i="27"/>
  <c r="P217" i="27"/>
  <c r="S167" i="10"/>
  <c r="AQ49" i="4"/>
  <c r="AM47" i="12"/>
  <c r="B152" i="27"/>
  <c r="S168" i="27"/>
  <c r="D164" i="27"/>
  <c r="O203" i="10"/>
  <c r="AM41" i="12"/>
  <c r="AM22" i="12"/>
  <c r="P196" i="10"/>
  <c r="O201" i="27"/>
  <c r="O209" i="10"/>
  <c r="AQ23" i="4"/>
  <c r="AM26" i="12"/>
  <c r="AP48" i="4"/>
  <c r="P218" i="27"/>
  <c r="O216" i="10"/>
  <c r="H168" i="10"/>
  <c r="AM32" i="12"/>
  <c r="P195" i="10"/>
  <c r="B150" i="27"/>
  <c r="AQ43" i="4"/>
  <c r="AM19" i="12"/>
  <c r="AP47" i="4"/>
  <c r="AQ24" i="4"/>
  <c r="O50" i="4"/>
  <c r="O50" i="12"/>
  <c r="J164" i="27"/>
  <c r="J164" i="10"/>
  <c r="Q218" i="10"/>
  <c r="H164" i="27"/>
  <c r="P202" i="27"/>
  <c r="S170" i="10"/>
  <c r="B160" i="10"/>
  <c r="DU2" i="10"/>
  <c r="DW2" i="10" s="1"/>
  <c r="AL16" i="12"/>
  <c r="H172" i="10"/>
  <c r="O205" i="27"/>
  <c r="AP26" i="4"/>
  <c r="Q220" i="10"/>
  <c r="C176" i="27"/>
  <c r="F176" i="27" s="1"/>
  <c r="B164" i="10"/>
  <c r="AQ34" i="4"/>
  <c r="B153" i="27"/>
  <c r="P194" i="27"/>
  <c r="Q216" i="10"/>
  <c r="Q212" i="10"/>
  <c r="Q222" i="27"/>
  <c r="H164" i="10"/>
  <c r="AP18" i="4"/>
  <c r="AQ38" i="4"/>
  <c r="AQ42" i="4"/>
  <c r="AQ46" i="4"/>
  <c r="AM20" i="12"/>
  <c r="AM28" i="12"/>
  <c r="AM36" i="12"/>
  <c r="AM40" i="12"/>
  <c r="AL44" i="12"/>
  <c r="AM48" i="12"/>
  <c r="F175" i="10"/>
  <c r="X171" i="10"/>
  <c r="F177" i="10"/>
  <c r="Q200" i="27"/>
  <c r="P198" i="27"/>
  <c r="F178" i="27"/>
  <c r="H159" i="10"/>
  <c r="F179" i="10"/>
  <c r="O197" i="27"/>
  <c r="F180" i="27"/>
  <c r="J161" i="10"/>
  <c r="J161" i="27"/>
  <c r="G202" i="27"/>
  <c r="A155" i="27"/>
  <c r="A162" i="27"/>
  <c r="G198" i="27"/>
  <c r="G204" i="27"/>
  <c r="G206" i="27"/>
  <c r="G220" i="27"/>
  <c r="G212" i="27"/>
  <c r="A171" i="27"/>
  <c r="A151" i="27"/>
  <c r="A153" i="27"/>
  <c r="A168" i="27"/>
  <c r="A250" i="27"/>
  <c r="A178" i="27"/>
  <c r="G214" i="27"/>
  <c r="G197" i="27"/>
  <c r="A152" i="27"/>
  <c r="A252" i="27"/>
  <c r="A169" i="27"/>
  <c r="G211" i="27"/>
  <c r="G222" i="27"/>
  <c r="A175" i="27"/>
  <c r="G203" i="27"/>
  <c r="G201" i="27"/>
  <c r="G194" i="27"/>
  <c r="G207" i="27"/>
  <c r="A177" i="27"/>
  <c r="G205" i="27"/>
  <c r="G216" i="27"/>
  <c r="A161" i="27"/>
  <c r="A176" i="27"/>
  <c r="A160" i="27"/>
  <c r="A251" i="27"/>
  <c r="G219" i="27"/>
  <c r="A159" i="27"/>
  <c r="A172" i="27"/>
  <c r="G208" i="27"/>
  <c r="G195" i="27"/>
  <c r="A249" i="27"/>
  <c r="A180" i="27"/>
  <c r="A163" i="27"/>
  <c r="A253" i="27"/>
  <c r="A150" i="27"/>
  <c r="G215" i="27"/>
  <c r="G209" i="27"/>
  <c r="A134" i="27"/>
  <c r="G199" i="27"/>
  <c r="A254" i="27"/>
  <c r="A167" i="27"/>
  <c r="G210" i="27"/>
  <c r="G213" i="27"/>
  <c r="G217" i="27"/>
  <c r="G221" i="27"/>
  <c r="G196" i="27"/>
  <c r="A170" i="27"/>
  <c r="A164" i="27"/>
  <c r="G218" i="27"/>
  <c r="A154" i="27"/>
  <c r="G200" i="27"/>
  <c r="A179" i="27"/>
  <c r="G207" i="10"/>
  <c r="G197" i="10"/>
  <c r="A154" i="10"/>
  <c r="G210" i="10"/>
  <c r="A162" i="10"/>
  <c r="G202" i="10"/>
  <c r="G209" i="10"/>
  <c r="A151" i="10"/>
  <c r="G196" i="10"/>
  <c r="G205" i="10"/>
  <c r="G204" i="10"/>
  <c r="G214" i="10"/>
  <c r="G219" i="10"/>
  <c r="A168" i="10"/>
  <c r="A172" i="10"/>
  <c r="G201" i="10"/>
  <c r="G198" i="10"/>
  <c r="A161" i="10"/>
  <c r="G200" i="10"/>
  <c r="A164" i="10"/>
  <c r="A134" i="10"/>
  <c r="A176" i="10"/>
  <c r="A171" i="10"/>
  <c r="G221" i="10"/>
  <c r="A152" i="10"/>
  <c r="A167" i="10"/>
  <c r="G195" i="10"/>
  <c r="A160" i="10"/>
  <c r="A153" i="10"/>
  <c r="A170" i="10"/>
  <c r="A155" i="10"/>
  <c r="A253" i="10"/>
  <c r="G199" i="10"/>
  <c r="A252" i="10"/>
  <c r="G194" i="10"/>
  <c r="A180" i="10"/>
  <c r="A150" i="10"/>
  <c r="A178" i="10"/>
  <c r="G222" i="10"/>
  <c r="G212" i="10"/>
  <c r="A250" i="10"/>
  <c r="G216" i="10"/>
  <c r="A251" i="10"/>
  <c r="G206" i="10"/>
  <c r="G215" i="10"/>
  <c r="G217" i="10"/>
  <c r="A179" i="10"/>
  <c r="G218" i="10"/>
  <c r="A249" i="10"/>
  <c r="G220" i="10"/>
  <c r="A169" i="10"/>
  <c r="A254" i="10"/>
  <c r="A163" i="10"/>
  <c r="A159" i="10"/>
  <c r="G203" i="10"/>
  <c r="G208" i="10"/>
  <c r="A175" i="10"/>
  <c r="G211" i="10"/>
  <c r="A177" i="10"/>
  <c r="G213" i="10"/>
  <c r="I159" i="10"/>
  <c r="J160" i="27"/>
  <c r="D162" i="10"/>
  <c r="D163" i="27"/>
  <c r="O221" i="10"/>
  <c r="Q208" i="10"/>
  <c r="Q206" i="27"/>
  <c r="Q204" i="10"/>
  <c r="Q196" i="10"/>
  <c r="O219" i="10"/>
  <c r="H170" i="27"/>
  <c r="I163" i="27"/>
  <c r="H161" i="27"/>
  <c r="O208" i="27"/>
  <c r="D159" i="27"/>
  <c r="P199" i="27"/>
  <c r="Q201" i="10"/>
  <c r="O213" i="10"/>
  <c r="Q221" i="27"/>
  <c r="D160" i="10"/>
  <c r="Q199" i="10"/>
  <c r="I161" i="27"/>
  <c r="P210" i="10"/>
  <c r="P206" i="10"/>
  <c r="P204" i="27"/>
  <c r="P200" i="27"/>
  <c r="O196" i="27"/>
  <c r="O200" i="10"/>
  <c r="H169" i="10"/>
  <c r="O218" i="27"/>
  <c r="O198" i="10"/>
  <c r="O217" i="10"/>
  <c r="I160" i="27"/>
  <c r="P209" i="27"/>
  <c r="Q205" i="10"/>
  <c r="I164" i="27"/>
  <c r="P211" i="10"/>
  <c r="P201" i="10"/>
  <c r="O202" i="10"/>
  <c r="P203" i="10"/>
  <c r="P205" i="10"/>
  <c r="D65" i="27" l="1"/>
  <c r="D65" i="10"/>
  <c r="D70" i="10" s="1"/>
  <c r="FT2" i="10" s="1"/>
  <c r="E68" i="27"/>
  <c r="D68" i="27"/>
  <c r="D68" i="10"/>
  <c r="E250" i="10"/>
  <c r="N170" i="10"/>
  <c r="C251" i="10"/>
  <c r="C251" i="27"/>
  <c r="D254" i="10"/>
  <c r="D254" i="27"/>
  <c r="E253" i="10"/>
  <c r="E253" i="27"/>
  <c r="X167" i="10"/>
  <c r="E249" i="10"/>
  <c r="D253" i="27"/>
  <c r="D253" i="10"/>
  <c r="E66" i="27"/>
  <c r="E66" i="10"/>
  <c r="B70" i="27"/>
  <c r="FQ2" i="27" s="1"/>
  <c r="C70" i="27"/>
  <c r="FR2" i="27" s="1"/>
  <c r="N171" i="27"/>
  <c r="J163" i="10"/>
  <c r="X170" i="27"/>
  <c r="X172" i="27"/>
  <c r="J162" i="27"/>
  <c r="J162" i="10"/>
  <c r="N167" i="10"/>
  <c r="N167" i="27"/>
  <c r="E252" i="27"/>
  <c r="E252" i="10"/>
  <c r="E254" i="27"/>
  <c r="E254" i="10"/>
  <c r="H134" i="10"/>
  <c r="H134" i="27"/>
  <c r="E67" i="27"/>
  <c r="E67" i="10"/>
  <c r="X168" i="27"/>
  <c r="B70" i="10"/>
  <c r="FQ2" i="10" s="1"/>
  <c r="C70" i="10"/>
  <c r="FR2" i="10" s="1"/>
  <c r="G134" i="27"/>
  <c r="G134" i="10"/>
  <c r="DU2" i="27"/>
  <c r="DW2" i="27" s="1"/>
  <c r="J159" i="27"/>
  <c r="J159" i="10"/>
  <c r="N168" i="27"/>
  <c r="N168" i="10"/>
  <c r="N172" i="10"/>
  <c r="N172" i="27"/>
  <c r="N169" i="10"/>
  <c r="N169" i="27"/>
  <c r="D70" i="27" l="1"/>
  <c r="FT2" i="27" s="1"/>
  <c r="I134" i="10"/>
  <c r="I134" i="27"/>
  <c r="E70" i="27"/>
  <c r="FU2" i="27" s="1"/>
  <c r="FV2" i="27" s="1"/>
  <c r="E251" i="27"/>
  <c r="E251" i="10"/>
  <c r="E70" i="10"/>
  <c r="FU2" i="10" s="1"/>
  <c r="FV2" i="10" s="1"/>
  <c r="FS2" i="27"/>
  <c r="FS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Légaré, Benoit</author>
  </authors>
  <commentList>
    <comment ref="E12" authorId="0" shapeId="0" xr:uid="{00000000-0006-0000-0500-000001000000}">
      <text>
        <r>
          <rPr>
            <sz val="8"/>
            <color indexed="81"/>
            <rFont val="Tahoma"/>
            <family val="2"/>
          </rPr>
          <t>Énergie: pour les émissions provenant de l'utilisation de la forme d'énergie
Fugitive:Émissions liées aus fuites d'un procédé ou aux réactions chimiques en lien avec le procédé.</t>
        </r>
      </text>
    </comment>
    <comment ref="H13" authorId="0" shapeId="0" xr:uid="{00000000-0006-0000-0500-000002000000}">
      <text>
        <r>
          <rPr>
            <sz val="8"/>
            <color indexed="81"/>
            <rFont val="Tahoma"/>
            <family val="2"/>
          </rPr>
          <t>Pour les combustibles provenant de biomasse, indiquer le pourcentage d'humidité du combustible.
Pour les biogaz, il s'agit du pourcentage de méthane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Légaré, Benoit</author>
  </authors>
  <commentList>
    <comment ref="E12" authorId="0" shapeId="0" xr:uid="{00000000-0006-0000-0700-000001000000}">
      <text>
        <r>
          <rPr>
            <sz val="8"/>
            <color indexed="81"/>
            <rFont val="Tahoma"/>
            <family val="2"/>
          </rPr>
          <t>Énergie: pour les émissions provenant de l'utilisation de la forme d'énergie
Fugitive:Émissions liées aus fuites d'un procédé ou aux réactions chimiques en lien avec le procédé.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00000000-0006-0000-0700-000002000000}">
      <text>
        <r>
          <rPr>
            <sz val="8"/>
            <color indexed="81"/>
            <rFont val="Tahoma"/>
            <family val="2"/>
          </rPr>
          <t>Pour les combustibles provenant de biomasse, indiquer le pourcentage d'humidité du combustible.
Pour les biogaz, il s'agit du pourcentage de méthane</t>
        </r>
      </text>
    </comment>
  </commentList>
</comments>
</file>

<file path=xl/sharedStrings.xml><?xml version="1.0" encoding="utf-8"?>
<sst xmlns="http://schemas.openxmlformats.org/spreadsheetml/2006/main" count="3707" uniqueCount="1027">
  <si>
    <t>items du menu déroulant, ne pas effacer</t>
  </si>
  <si>
    <t>Projet d'économie d'énergie garantie (EEG)</t>
  </si>
  <si>
    <t>important</t>
  </si>
  <si>
    <t>Base de référence</t>
  </si>
  <si>
    <t>modéré</t>
  </si>
  <si>
    <t>faible</t>
  </si>
  <si>
    <t>Grille d'évaluation du travail à réaliser pour constituer une base de référence</t>
  </si>
  <si>
    <t>La grille ci-dessous est à utiliser à deux moments dinstincts de l'avancement du dossier :</t>
  </si>
  <si>
    <t>présent</t>
  </si>
  <si>
    <t>1) Dépôt de la demande</t>
  </si>
  <si>
    <t>absent</t>
  </si>
  <si>
    <t>But : Évaluer l'ampleur du travail que le consultant externe devra réaliser pour constituer la base de référence.</t>
  </si>
  <si>
    <t>Comment? Qualifier l'effort nécessaire à l'obtention des renseignements :</t>
  </si>
  <si>
    <t>(choisir dans le menu, la qualification appropriée)</t>
  </si>
  <si>
    <t>2) Dépôt au MELCCFP de la base de référence achevée (livrable)</t>
  </si>
  <si>
    <t>But : Permettre au MELCCFP d'identifer la présence des renseignements de la liste.</t>
  </si>
  <si>
    <t>Comment? Indiquer à l'aide du menu la présence ou non, dans la documentation transmise au MELCCFP, du renseignement listé.</t>
  </si>
  <si>
    <t>Liste des renseignements à recueillir pour constituer la base de référence :</t>
  </si>
  <si>
    <t>Site 1</t>
  </si>
  <si>
    <t>Site 2</t>
  </si>
  <si>
    <t>Site 3</t>
  </si>
  <si>
    <t>Site 4</t>
  </si>
  <si>
    <t>Site 5</t>
  </si>
  <si>
    <t>Ajouter des sites au besoin</t>
  </si>
  <si>
    <t>Notes</t>
  </si>
  <si>
    <t>Indiquer le nom du site :</t>
  </si>
  <si>
    <t>Estimation préliminaire du potentiel de réduction de la consommation d’énergie et des émissions de GES.</t>
  </si>
  <si>
    <t>Tarifs mensuels à appliquer pour chaque forme d’énergie lors d'un éventuel contrat avec une ESE embauchée pour réaliser le projet d'économie d'énergie garantie. Ces tarifs sont désignés comme des tarifs contractuels.</t>
  </si>
  <si>
    <t>Liste des compteurs pour chaque forme d’énergie, chacun accompagné des quantités et des coûts de consommation mensuelle d’énergie (normalisée selon le mois calendraire) qui y sont associés; les coûts sont établis en fonction des tarifs contractuels et ils serviront de référence pour calculer les économies de coûts d'énergie projetées par l'ESE.</t>
  </si>
  <si>
    <t>Description de l’état de vétusté des systèmes de chauffage, de ventilation et de conditionnement d'air (CVCA) (résumé de quelques lignes).</t>
  </si>
  <si>
    <t>Description de l’équilibrage du débit d’air des principaux systèmes de ventilation.</t>
  </si>
  <si>
    <t>Détails concernant le système de contrôle (description, schémas, séquences d’opération, captures d’écran, etc.).</t>
  </si>
  <si>
    <t>Liste des membres de l'équipe d'exploitation (tâches, expériences et localisation) à qui l'ESE offrira de la formation.</t>
  </si>
  <si>
    <t>Mesures d’efficacité énergétique exigées ou travaux de maintien d’actifs obligatoires à inclure dans le projet d’efficacité énergétique; identifier la contribution financière de l'institution qui en découle, s'il y a lieu.</t>
  </si>
  <si>
    <t>Mesures à proscrire du projet d’efficacité énergétique.</t>
  </si>
  <si>
    <t>Consignes minimales à respecter par l'ESE, pour limiter la perturbation des activités de l'institution durant l'implantation des mesures d'efficacité énergétique.</t>
  </si>
  <si>
    <t>Consignes minimales à respecter par l'ESE, pour connaître la planification, la progression et l’achèvement des travaux, de manière à pouvoir fournir les approbations requises et à effectuer les suivis adéquats avec le personnel et les occupants.</t>
  </si>
  <si>
    <t>Factures mensuelles de consommation d’énergie des fournisseurs d’énergie des précédentes années (années représentatives)</t>
  </si>
  <si>
    <t>Description des modes de chauffage et de climatisation pour les quatre saisons de l’année;</t>
  </si>
  <si>
    <t>Liste des systèmes de chauffage, de ventilation et de conditionnement d’air (CVCA) et leurs caractéristiques, telles que :</t>
  </si>
  <si>
    <t>·  Fonction (description sommaire);</t>
  </si>
  <si>
    <t>·  Capacité de chauffage;</t>
  </si>
  <si>
    <t>·  Capacité de refroidissement;</t>
  </si>
  <si>
    <t>·  Capacité d'humidification;</t>
  </si>
  <si>
    <t>·  Puissance de la force motrice;</t>
  </si>
  <si>
    <t>·  Débit d’air total, au démarrage du système;</t>
  </si>
  <si>
    <t>·  Débit d’air frais, au démarrage du système;</t>
  </si>
  <si>
    <t>·  Horaires de fonctionnement;</t>
  </si>
  <si>
    <t>·  Zones desservies;</t>
  </si>
  <si>
    <t>·  Unités terminales.</t>
  </si>
  <si>
    <t>Systèmes d’éclairage et leurs caractéristiques.</t>
  </si>
  <si>
    <t>Critères de sélection des équipements CVCA (exigences techniques), notamment les critères de durabilité et d'entretien, que devra respecter l'ESE dans le choix des équipements utilisés dans son projet.</t>
  </si>
  <si>
    <t>Renseignements complémentaires (déjà produits) à fournir en annexe lorsque disponibles en format PDF (les documents au format papier pourront être consultés sur place) :</t>
  </si>
  <si>
    <t xml:space="preserve">   ·  Liste des plans et les plans eux-mêmes;</t>
  </si>
  <si>
    <t xml:space="preserve">   ·  Liste des manuels d’opération et les manuels d’opération eux-mêmes;</t>
  </si>
  <si>
    <t xml:space="preserve">   ·  Rapport de vétusté;</t>
  </si>
  <si>
    <t xml:space="preserve">   ·  Rapport d’équilibrage d’air des principaux systèmes de ventilation;</t>
  </si>
  <si>
    <t xml:space="preserve">   ·  Rapport de mesurage des débits d'eau;</t>
  </si>
  <si>
    <t xml:space="preserve">   ·  Rapport de présence d’amiante ou d'autres matières dangeureuses, si pertinent;</t>
  </si>
  <si>
    <t xml:space="preserve">   ·  Tout autre rapport pertinent.</t>
  </si>
  <si>
    <t>Version</t>
  </si>
  <si>
    <t>Inno</t>
  </si>
  <si>
    <t>Analyse</t>
  </si>
  <si>
    <t>Implantation</t>
  </si>
  <si>
    <t>Conversion</t>
  </si>
  <si>
    <t>Gestion</t>
  </si>
  <si>
    <t>Connaissance</t>
  </si>
  <si>
    <t>OPTER</t>
  </si>
  <si>
    <t>InnoC</t>
  </si>
  <si>
    <t>AnalyseC</t>
  </si>
  <si>
    <t>ImplantationC</t>
  </si>
  <si>
    <t>ConversionC</t>
  </si>
  <si>
    <t>GestionC</t>
  </si>
  <si>
    <t>ConnaissanceC</t>
  </si>
  <si>
    <t>OPTERC</t>
  </si>
  <si>
    <t>Anal_Etu</t>
  </si>
  <si>
    <t>Anal_IP</t>
  </si>
  <si>
    <t>Anal_IP_Prelim</t>
  </si>
  <si>
    <t>Anal_Approv</t>
  </si>
  <si>
    <t>Conv_Bio</t>
  </si>
  <si>
    <t>Conv_Sol</t>
  </si>
  <si>
    <t>Conv_ER</t>
  </si>
  <si>
    <t>Conv_Conv</t>
  </si>
  <si>
    <t>Gestion_Agri</t>
  </si>
  <si>
    <t>Gestion_Ind</t>
  </si>
  <si>
    <t>DEV_Conduite</t>
  </si>
  <si>
    <t>DEV_Agri</t>
  </si>
  <si>
    <t>DEV_Ind</t>
  </si>
  <si>
    <t>OPTER_Arena</t>
  </si>
  <si>
    <t>OPTER_Super</t>
  </si>
  <si>
    <t>OPTER_Agro</t>
  </si>
  <si>
    <t>Code_Req</t>
  </si>
  <si>
    <t>ORGreq</t>
  </si>
  <si>
    <t>ORGAdr</t>
  </si>
  <si>
    <t>ORGVil</t>
  </si>
  <si>
    <t>ORGCP</t>
  </si>
  <si>
    <t>ORGStatLeg</t>
  </si>
  <si>
    <t>ORGNEQ</t>
  </si>
  <si>
    <t>ORGNbreEmplois</t>
  </si>
  <si>
    <t>ORGRDrec</t>
  </si>
  <si>
    <t>Code_Sign</t>
  </si>
  <si>
    <t>SignAppel</t>
  </si>
  <si>
    <t>SignNom</t>
  </si>
  <si>
    <t>SignPrenom</t>
  </si>
  <si>
    <t>SignSuffixe</t>
  </si>
  <si>
    <t>SignFonc</t>
  </si>
  <si>
    <t>SignEMail</t>
  </si>
  <si>
    <t>SignEnt</t>
  </si>
  <si>
    <t>SignAdr</t>
  </si>
  <si>
    <t>SignVil</t>
  </si>
  <si>
    <t>SignCP</t>
  </si>
  <si>
    <t>SignNEQ</t>
  </si>
  <si>
    <t>SignPhone</t>
  </si>
  <si>
    <t>SignPoste</t>
  </si>
  <si>
    <t>SignCell</t>
  </si>
  <si>
    <t>Signcc</t>
  </si>
  <si>
    <t>Signcorprinc</t>
  </si>
  <si>
    <t>Code_Repadm</t>
  </si>
  <si>
    <t>RepAdmAppel</t>
  </si>
  <si>
    <t>RepAdmNom</t>
  </si>
  <si>
    <t>RepAdmPrenom</t>
  </si>
  <si>
    <t>RepAdmSuffixe</t>
  </si>
  <si>
    <t>RepAdmFonc</t>
  </si>
  <si>
    <t>RepAdmEMail</t>
  </si>
  <si>
    <t>RepAdmEnt</t>
  </si>
  <si>
    <t>RepAdmAdr</t>
  </si>
  <si>
    <t>RepAdmVil</t>
  </si>
  <si>
    <t>RepAdmCP</t>
  </si>
  <si>
    <t>RepAdmNEQ</t>
  </si>
  <si>
    <t>RepAdmPhone</t>
  </si>
  <si>
    <t>RepAdmPoste</t>
  </si>
  <si>
    <t>RepAdmCell</t>
  </si>
  <si>
    <t>RepAdmcc</t>
  </si>
  <si>
    <t>RepAdmcorprinc</t>
  </si>
  <si>
    <t>Code_RepTech</t>
  </si>
  <si>
    <t>RepTechAppel</t>
  </si>
  <si>
    <t>RepTechNom</t>
  </si>
  <si>
    <t>RepTechPrenom</t>
  </si>
  <si>
    <t>RepTechSuffixe</t>
  </si>
  <si>
    <t>RepTechFonc</t>
  </si>
  <si>
    <t>RepTechEMail</t>
  </si>
  <si>
    <t>RepTechEnt</t>
  </si>
  <si>
    <t>RepTechAdr</t>
  </si>
  <si>
    <t>RepTechVil</t>
  </si>
  <si>
    <t>RepTechCP</t>
  </si>
  <si>
    <t>RepTechNEQ</t>
  </si>
  <si>
    <t>RepTechPhone</t>
  </si>
  <si>
    <t>RepTechPoste</t>
  </si>
  <si>
    <t>RepTechCell</t>
  </si>
  <si>
    <t>RepTechOrdre</t>
  </si>
  <si>
    <t>RepTechNoMbre</t>
  </si>
  <si>
    <t>RepTechcc</t>
  </si>
  <si>
    <t>RepTechcorprinc</t>
  </si>
  <si>
    <t>Code_Consultant</t>
  </si>
  <si>
    <t>ConsultAppel</t>
  </si>
  <si>
    <t>ConsultNom</t>
  </si>
  <si>
    <t>ConsultPrenom</t>
  </si>
  <si>
    <t>ConsultSuffixe</t>
  </si>
  <si>
    <t>ConsultFonc</t>
  </si>
  <si>
    <t>ConsultEMail</t>
  </si>
  <si>
    <t>ConsultEnt</t>
  </si>
  <si>
    <t>ConsultAdr</t>
  </si>
  <si>
    <t>ConsultVil</t>
  </si>
  <si>
    <t>ConsultCP</t>
  </si>
  <si>
    <t>ConsultNEQ</t>
  </si>
  <si>
    <t>ConsultPhone</t>
  </si>
  <si>
    <t>ConsultPoste</t>
  </si>
  <si>
    <t>ConsultCell</t>
  </si>
  <si>
    <t>ConsultOrdre</t>
  </si>
  <si>
    <t>ConsultNoMbre</t>
  </si>
  <si>
    <t>Consultcc</t>
  </si>
  <si>
    <t>Consultcorprinc</t>
  </si>
  <si>
    <t>SitePrinc</t>
  </si>
  <si>
    <t>SiteAdr</t>
  </si>
  <si>
    <t>SiteVil</t>
  </si>
  <si>
    <t>SiteCP</t>
  </si>
  <si>
    <t>SiteNEQ</t>
  </si>
  <si>
    <t>SiteSCIAN</t>
  </si>
  <si>
    <t>SiteTypeENT</t>
  </si>
  <si>
    <t>Secteur</t>
  </si>
  <si>
    <t>No_Projet_Sagir_Abrev</t>
  </si>
  <si>
    <t>Volet</t>
  </si>
  <si>
    <t>Section</t>
  </si>
  <si>
    <t>Composante</t>
  </si>
  <si>
    <t>SiteGJNel</t>
  </si>
  <si>
    <t>SIte36TJ</t>
  </si>
  <si>
    <t>Site36TJCode</t>
  </si>
  <si>
    <t>NouveauExistant</t>
  </si>
  <si>
    <t>DJChauffe</t>
  </si>
  <si>
    <t>Superficie</t>
  </si>
  <si>
    <t>UnitSuperficie</t>
  </si>
  <si>
    <t>Production</t>
  </si>
  <si>
    <t>UnitProd</t>
  </si>
  <si>
    <t>ConsDateDeb</t>
  </si>
  <si>
    <t>ConsDateFin</t>
  </si>
  <si>
    <t>TitreProj</t>
  </si>
  <si>
    <t>DateDebProj</t>
  </si>
  <si>
    <t>DateFinProj</t>
  </si>
  <si>
    <t>DateMER</t>
  </si>
  <si>
    <t>ProjStratTrans</t>
  </si>
  <si>
    <t>Engagement</t>
  </si>
  <si>
    <t>Residentiel</t>
  </si>
  <si>
    <t>Commercial</t>
  </si>
  <si>
    <t>Institutionnel</t>
  </si>
  <si>
    <t>Municipal</t>
  </si>
  <si>
    <t>Transport</t>
  </si>
  <si>
    <t>Industriel</t>
  </si>
  <si>
    <t>Agricole</t>
  </si>
  <si>
    <t>Autre</t>
  </si>
  <si>
    <t>DomaineAutre</t>
  </si>
  <si>
    <t>ProdER</t>
  </si>
  <si>
    <t>Bioénergie</t>
  </si>
  <si>
    <t>Eolienne</t>
  </si>
  <si>
    <t>Geothermie</t>
  </si>
  <si>
    <t>Hydrolienne</t>
  </si>
  <si>
    <t>Hydrogene</t>
  </si>
  <si>
    <t>Maremotrice</t>
  </si>
  <si>
    <t>Solaire</t>
  </si>
  <si>
    <t>AutreER</t>
  </si>
  <si>
    <t>ERAutre</t>
  </si>
  <si>
    <t>EEInno</t>
  </si>
  <si>
    <t>Electricite</t>
  </si>
  <si>
    <t>MazoutLeger</t>
  </si>
  <si>
    <t>MazoutLourd</t>
  </si>
  <si>
    <t>GazNaturel</t>
  </si>
  <si>
    <t>Propane</t>
  </si>
  <si>
    <t>Essence</t>
  </si>
  <si>
    <t>Diesel</t>
  </si>
  <si>
    <t>AutreEE</t>
  </si>
  <si>
    <t>EEAutre</t>
  </si>
  <si>
    <t>Montantdem</t>
  </si>
  <si>
    <t>DateDemande</t>
  </si>
  <si>
    <t>Cinterne_Prevu</t>
  </si>
  <si>
    <t>Cexterne_Prevu</t>
  </si>
  <si>
    <t>Ctotaux_Prevu</t>
  </si>
  <si>
    <t>Cinterne_Reel</t>
  </si>
  <si>
    <t>Cexterne_reel</t>
  </si>
  <si>
    <t>Ctotaux_Reel</t>
  </si>
  <si>
    <t>NbreMes</t>
  </si>
  <si>
    <t>Recom</t>
  </si>
  <si>
    <t>RecomC</t>
  </si>
  <si>
    <t>FO_BaseRef_V2.3</t>
  </si>
  <si>
    <t>Aide combine max</t>
  </si>
  <si>
    <t>CC</t>
  </si>
  <si>
    <t>DescriptionCC</t>
  </si>
  <si>
    <t>Choisir…</t>
  </si>
  <si>
    <t>n'est plus utilisé</t>
  </si>
  <si>
    <t>Code appel</t>
  </si>
  <si>
    <t>Appel</t>
  </si>
  <si>
    <t>C</t>
  </si>
  <si>
    <t>BT</t>
  </si>
  <si>
    <t>20</t>
  </si>
  <si>
    <t>Santé et Services sociaux</t>
  </si>
  <si>
    <t>Commercial institutionnel</t>
  </si>
  <si>
    <t>1151201</t>
  </si>
  <si>
    <t>Gouvernement</t>
  </si>
  <si>
    <t>champs supprimé dans onglet 1. Demande</t>
  </si>
  <si>
    <t>OIQ</t>
  </si>
  <si>
    <t>Analyses</t>
  </si>
  <si>
    <t>Énergie</t>
  </si>
  <si>
    <t>I</t>
  </si>
  <si>
    <t>Implanter</t>
  </si>
  <si>
    <t>Implantée</t>
  </si>
  <si>
    <t>HT</t>
  </si>
  <si>
    <t>30</t>
  </si>
  <si>
    <t>Éducation (Centre de services scolaires)</t>
  </si>
  <si>
    <t>1151210</t>
  </si>
  <si>
    <t>Gouvernement (Optimisation réfrigération)</t>
  </si>
  <si>
    <t>Madame</t>
  </si>
  <si>
    <t>OIFQ</t>
  </si>
  <si>
    <t>Gestion_d_énergie</t>
  </si>
  <si>
    <t>Fugitive</t>
  </si>
  <si>
    <t>N</t>
  </si>
  <si>
    <t>Ne rien faire</t>
  </si>
  <si>
    <t>En cours d'implantation</t>
  </si>
  <si>
    <t>Enseignement supérieur</t>
  </si>
  <si>
    <t>1158180</t>
  </si>
  <si>
    <t>Privé (Agriculture)</t>
  </si>
  <si>
    <t>Monsieur</t>
  </si>
  <si>
    <t>OAQ</t>
  </si>
  <si>
    <t>Eff_énergétique</t>
  </si>
  <si>
    <t>Implantations</t>
  </si>
  <si>
    <t>Aucun</t>
  </si>
  <si>
    <t>E</t>
  </si>
  <si>
    <t>Étude supplémentaire requise</t>
  </si>
  <si>
    <t>Dans la prochaine année</t>
  </si>
  <si>
    <t>Société québécoise des infrastructures</t>
  </si>
  <si>
    <t>Privé (Commercial)</t>
  </si>
  <si>
    <t>D'ici deux ans</t>
  </si>
  <si>
    <t>Société d'habitation du Québec et OMH</t>
  </si>
  <si>
    <t>Privé (Optimisation réfrigération)</t>
  </si>
  <si>
    <t>Émissions_fugitives</t>
  </si>
  <si>
    <t>Ne sera pas implantée</t>
  </si>
  <si>
    <t>Autres organismes non budgétaires</t>
  </si>
  <si>
    <t>Privé (Industriel)</t>
  </si>
  <si>
    <t>Éducation (Optimisation réfrigération)</t>
  </si>
  <si>
    <t>Privé (Industriel optimisation réfrigération)</t>
  </si>
  <si>
    <t>00</t>
  </si>
  <si>
    <t>Santé</t>
  </si>
  <si>
    <t>Santé (Optimisation réfrigération)</t>
  </si>
  <si>
    <t>10</t>
  </si>
  <si>
    <t>Éducation</t>
  </si>
  <si>
    <t>Subvention</t>
  </si>
  <si>
    <t>Emprunt</t>
  </si>
  <si>
    <t>Prêt</t>
  </si>
  <si>
    <t>Équité</t>
  </si>
  <si>
    <t>40</t>
  </si>
  <si>
    <t>Municipal (Optimisation réfrigération)</t>
  </si>
  <si>
    <t>50</t>
  </si>
  <si>
    <t>OSBL (Agriculture)</t>
  </si>
  <si>
    <t>OSBL (Institutionnel)</t>
  </si>
  <si>
    <t>OSBL (Commercial)</t>
  </si>
  <si>
    <t>Oui</t>
  </si>
  <si>
    <t>OSBL (Optimisation réfrigération)</t>
  </si>
  <si>
    <t>Non</t>
  </si>
  <si>
    <t>OSBL (Industriel)</t>
  </si>
  <si>
    <t>TEQ</t>
  </si>
  <si>
    <t>Transition énergétique Québec</t>
  </si>
  <si>
    <t>CodeCAt</t>
  </si>
  <si>
    <t>CodeMEE</t>
  </si>
  <si>
    <t>Hydro-Québec</t>
  </si>
  <si>
    <t>511</t>
  </si>
  <si>
    <t>Coûts liés à l'embauche d'une personne énergie</t>
  </si>
  <si>
    <t>50.1</t>
  </si>
  <si>
    <t>Gaz Métro</t>
  </si>
  <si>
    <t>512</t>
  </si>
  <si>
    <t>Formation ISO 50001</t>
  </si>
  <si>
    <t>50.2</t>
  </si>
  <si>
    <t xml:space="preserve"> Enseignement supérieur</t>
  </si>
  <si>
    <t>SQI</t>
  </si>
  <si>
    <t>Fédéral…</t>
  </si>
  <si>
    <t>513</t>
  </si>
  <si>
    <t>Accompagnement, audits, certification</t>
  </si>
  <si>
    <t>50.3</t>
  </si>
  <si>
    <t>SHQ, OMH</t>
  </si>
  <si>
    <t>Autres organisme non-budgétaire</t>
  </si>
  <si>
    <t>Investissement Québec</t>
  </si>
  <si>
    <t>514</t>
  </si>
  <si>
    <t>Équipement de mesurage, sondes et programmation</t>
  </si>
  <si>
    <t>50.4</t>
  </si>
  <si>
    <t>Banque/Caisse</t>
  </si>
  <si>
    <t>TDDC</t>
  </si>
  <si>
    <t>Technologies du Développement Durables Canada</t>
  </si>
  <si>
    <t>BDC</t>
  </si>
  <si>
    <t>Banque de développement du Canada</t>
  </si>
  <si>
    <t>CDE</t>
  </si>
  <si>
    <t>Centre de développement économique</t>
  </si>
  <si>
    <t>MAPAQ</t>
  </si>
  <si>
    <t>Ministère Agriculture Pêcheries et Alimentation  du Québec</t>
  </si>
  <si>
    <t>MELS</t>
  </si>
  <si>
    <t>Ministère de l'Éducation des Loisir et des Sports</t>
  </si>
  <si>
    <t>MFE</t>
  </si>
  <si>
    <t>Ministère Finance et de l'Économie</t>
  </si>
  <si>
    <t>MSSS</t>
  </si>
  <si>
    <t>Ministére de la Santé et des Services Sociaux</t>
  </si>
  <si>
    <t>MTQ</t>
  </si>
  <si>
    <t>Ministère du Transport du Québec</t>
  </si>
  <si>
    <t>Autre…</t>
  </si>
  <si>
    <t>Requérant</t>
  </si>
  <si>
    <t>kg</t>
  </si>
  <si>
    <t>m²</t>
  </si>
  <si>
    <t>lbs</t>
  </si>
  <si>
    <t>pi²</t>
  </si>
  <si>
    <t>Innovation</t>
  </si>
  <si>
    <t>Efficacité</t>
  </si>
  <si>
    <t>Connaissances</t>
  </si>
  <si>
    <t>1</t>
  </si>
  <si>
    <t>2</t>
  </si>
  <si>
    <t>3</t>
  </si>
  <si>
    <t>4</t>
  </si>
  <si>
    <t>5</t>
  </si>
  <si>
    <t>6</t>
  </si>
  <si>
    <t>7</t>
  </si>
  <si>
    <t>Émissions Fugitives</t>
  </si>
  <si>
    <t>Tonne min</t>
  </si>
  <si>
    <t>Aide max</t>
  </si>
  <si>
    <t>11</t>
  </si>
  <si>
    <t>R&amp;D (reconnu)</t>
  </si>
  <si>
    <t>21</t>
  </si>
  <si>
    <t>Étude</t>
  </si>
  <si>
    <t>31</t>
  </si>
  <si>
    <t>41</t>
  </si>
  <si>
    <t>Bioénergies</t>
  </si>
  <si>
    <t>51</t>
  </si>
  <si>
    <t>Gestion d'énergie</t>
  </si>
  <si>
    <t>61</t>
  </si>
  <si>
    <t>Écoconduite</t>
  </si>
  <si>
    <t>71</t>
  </si>
  <si>
    <t>Optimisation réfrigération</t>
  </si>
  <si>
    <t>12</t>
  </si>
  <si>
    <t>R&amp;D (Autre)</t>
  </si>
  <si>
    <t>222</t>
  </si>
  <si>
    <t>Étude IP préliminaire</t>
  </si>
  <si>
    <t>42</t>
  </si>
  <si>
    <t>Énergies émergentes</t>
  </si>
  <si>
    <t>52</t>
  </si>
  <si>
    <t>Agriculture</t>
  </si>
  <si>
    <t>62</t>
  </si>
  <si>
    <t>développement</t>
  </si>
  <si>
    <t>72</t>
  </si>
  <si>
    <t>Autres procédés</t>
  </si>
  <si>
    <t>13</t>
  </si>
  <si>
    <t>Démonstration</t>
  </si>
  <si>
    <t>221</t>
  </si>
  <si>
    <t>Étude IP</t>
  </si>
  <si>
    <t>Solaires</t>
  </si>
  <si>
    <t>14</t>
  </si>
  <si>
    <t>Mesurage</t>
  </si>
  <si>
    <t>23</t>
  </si>
  <si>
    <t>Approvisionnement</t>
  </si>
  <si>
    <t>43</t>
  </si>
  <si>
    <t>Traditionnelles</t>
  </si>
  <si>
    <t>15</t>
  </si>
  <si>
    <t>Précommercialisation</t>
  </si>
  <si>
    <t>16</t>
  </si>
  <si>
    <t>Diffusion</t>
  </si>
  <si>
    <t>Référence</t>
  </si>
  <si>
    <t>Projet</t>
  </si>
  <si>
    <t>Interne</t>
  </si>
  <si>
    <t>Externe</t>
  </si>
  <si>
    <t>Total</t>
  </si>
  <si>
    <t>Energie_SEQ</t>
  </si>
  <si>
    <t>Energie_Forme</t>
  </si>
  <si>
    <t>Energie_Unite</t>
  </si>
  <si>
    <t>Energie_MJU</t>
  </si>
  <si>
    <t>CO2equivNeutralite</t>
  </si>
  <si>
    <t>Energie_kWhU</t>
  </si>
  <si>
    <t>Energie_BtuU</t>
  </si>
  <si>
    <t>Energie_Commentaire</t>
  </si>
  <si>
    <t>Code_Etape</t>
  </si>
  <si>
    <t>ABR</t>
  </si>
  <si>
    <t>CO2</t>
  </si>
  <si>
    <t>CH4</t>
  </si>
  <si>
    <t>N2O</t>
  </si>
  <si>
    <t>CO2equiv</t>
  </si>
  <si>
    <t>Type_NRJ</t>
  </si>
  <si>
    <t>CodeCompileMaz</t>
  </si>
  <si>
    <t>PCGIECdef</t>
  </si>
  <si>
    <t>PCGIECmin</t>
  </si>
  <si>
    <t>PCGIECmax</t>
  </si>
  <si>
    <t>FEGIECdef</t>
  </si>
  <si>
    <t>FEGIECmin</t>
  </si>
  <si>
    <t>FEGIECmax</t>
  </si>
  <si>
    <t>%CO2Prod</t>
  </si>
  <si>
    <t>CO2prod</t>
  </si>
  <si>
    <t>PRP_SEQ</t>
  </si>
  <si>
    <t>PRP_GAZ</t>
  </si>
  <si>
    <t>PRP_FORMULE</t>
  </si>
  <si>
    <t>PRP_PRP</t>
  </si>
  <si>
    <t>Source donnees</t>
  </si>
  <si>
    <t>Électricité</t>
  </si>
  <si>
    <t>kWh</t>
  </si>
  <si>
    <t>Annexe 13 du Rapport d'inventaire national du Canada 1990-2010 partie 3</t>
  </si>
  <si>
    <t>02</t>
  </si>
  <si>
    <t/>
  </si>
  <si>
    <t>Dioxyde de carbone (R-744)</t>
  </si>
  <si>
    <t>Règlement sur la déclaration obligatoire de certaines émission de contaminants dans l'atmosphère, Loi sur la qualité de l'environnement, Q-2, a.2.2, 109.1 et 124.1</t>
  </si>
  <si>
    <t>Gaz naturel</t>
  </si>
  <si>
    <t>m³</t>
  </si>
  <si>
    <t xml:space="preserve">Règlement sur la déclaration obligatoire de certaines émission de contaminants dans l'atmosphère, Loi sur la qualité de l'environnement, Q-2, a.2.2, 109.1 et 124.1
Utilisation des données pour usages industriels, ciment, secteur manufacturier et secteurs </t>
  </si>
  <si>
    <t>03</t>
  </si>
  <si>
    <t>G</t>
  </si>
  <si>
    <t>33,6</t>
  </si>
  <si>
    <t>32,55</t>
  </si>
  <si>
    <t>35,28</t>
  </si>
  <si>
    <t>56,1</t>
  </si>
  <si>
    <t>54,3</t>
  </si>
  <si>
    <t>58,3</t>
  </si>
  <si>
    <t>HFC-134a</t>
  </si>
  <si>
    <t>CH2FCF3</t>
  </si>
  <si>
    <t>Mazout léger no 2</t>
  </si>
  <si>
    <t>L</t>
  </si>
  <si>
    <t>Règlement sur la déclaration obligatoire de certaines émission de contaminants dans l'atmosphère, Loi sur la qualité de l'environnement, Q-2, a.2.2, 109.1 et 124.1
Utilisation des données pour usages industriels.</t>
  </si>
  <si>
    <t>04</t>
  </si>
  <si>
    <t>MA2</t>
  </si>
  <si>
    <t>HCFC-22 (R-22)</t>
  </si>
  <si>
    <t>CHClF2</t>
  </si>
  <si>
    <t>Changes in atmospheric constituents and in radiative forcing (table 2.14 100-yr TAR)</t>
  </si>
  <si>
    <t>Mazout lourd (nos 4, 5 et 6)</t>
  </si>
  <si>
    <t>MA6</t>
  </si>
  <si>
    <t>R-404A</t>
  </si>
  <si>
    <t>0,04(HFC-134a)+0,44(HFC-125)+0,52(HFC-143a)</t>
  </si>
  <si>
    <t>07</t>
  </si>
  <si>
    <t>P</t>
  </si>
  <si>
    <t>25,542</t>
  </si>
  <si>
    <t>24,192</t>
  </si>
  <si>
    <t>28,188</t>
  </si>
  <si>
    <t>63,1</t>
  </si>
  <si>
    <t>61,6</t>
  </si>
  <si>
    <t>65,6</t>
  </si>
  <si>
    <t>R-407A</t>
  </si>
  <si>
    <t>0,4(HFC-134a)+0,4(HFC-125)+0,2(HFC-32)</t>
  </si>
  <si>
    <t>06</t>
  </si>
  <si>
    <t>36,55</t>
  </si>
  <si>
    <t>35,19</t>
  </si>
  <si>
    <t>36,805</t>
  </si>
  <si>
    <t>74,1</t>
  </si>
  <si>
    <t>72,6</t>
  </si>
  <si>
    <t>74,8</t>
  </si>
  <si>
    <t>R-507a</t>
  </si>
  <si>
    <t>0,5(HFC-125)+0,5(HFC-143a)</t>
  </si>
  <si>
    <t>Essence (automobile)</t>
  </si>
  <si>
    <t>05</t>
  </si>
  <si>
    <t>Ammoniac (R-717)</t>
  </si>
  <si>
    <t>NH3</t>
  </si>
  <si>
    <t>Internation Institute of Ammonia Refrigeration  (IIAR) www.iiar.org</t>
  </si>
  <si>
    <t>Essence (aviation)</t>
  </si>
  <si>
    <t>R-422D</t>
  </si>
  <si>
    <t>0,651(HFC-125)+0,315(HFC-134a)+0,034*(600a)</t>
  </si>
  <si>
    <t>Carburéacteur</t>
  </si>
  <si>
    <t>31,453</t>
  </si>
  <si>
    <t>30,175</t>
  </si>
  <si>
    <t>31,808</t>
  </si>
  <si>
    <t>70</t>
  </si>
  <si>
    <t>67,5</t>
  </si>
  <si>
    <t>73</t>
  </si>
  <si>
    <t>Bromure de méthyle</t>
  </si>
  <si>
    <t>CH3Br</t>
  </si>
  <si>
    <t>Kérosène</t>
  </si>
  <si>
    <t>CFC-11</t>
  </si>
  <si>
    <t>CCl3F</t>
  </si>
  <si>
    <t>Bitume</t>
  </si>
  <si>
    <t>Règlement sur la déclaration obligatoire de certaines émission de contaminants dans l'atmosphère, Loi sur la qualité de l'environnement, Q-2, a.2.2, 109.1 et 124.1.  Facteur d’émission du guid des facteurs d’émissions de l’ADEME version 5.0.</t>
  </si>
  <si>
    <t>40,2</t>
  </si>
  <si>
    <t>33,5</t>
  </si>
  <si>
    <t>41,2</t>
  </si>
  <si>
    <t>80,7</t>
  </si>
  <si>
    <t>89,9</t>
  </si>
  <si>
    <t>CFC-113</t>
  </si>
  <si>
    <t>CCl2FCClF2</t>
  </si>
  <si>
    <t>Gaz de distillation (du raffinage)</t>
  </si>
  <si>
    <t>49,9</t>
  </si>
  <si>
    <t>47,5</t>
  </si>
  <si>
    <t>50,6</t>
  </si>
  <si>
    <t>57,6</t>
  </si>
  <si>
    <t>48,2</t>
  </si>
  <si>
    <t>69</t>
  </si>
  <si>
    <t>CFC-114</t>
  </si>
  <si>
    <t>CClF2CClF2</t>
  </si>
  <si>
    <t>Lignite</t>
  </si>
  <si>
    <t>11,9</t>
  </si>
  <si>
    <t>5,5</t>
  </si>
  <si>
    <t>21,6</t>
  </si>
  <si>
    <t>101</t>
  </si>
  <si>
    <t>90,9</t>
  </si>
  <si>
    <t>115</t>
  </si>
  <si>
    <t>CFC-115</t>
  </si>
  <si>
    <t>CClF2CF3</t>
  </si>
  <si>
    <t>Butane</t>
  </si>
  <si>
    <t>CFC-12</t>
  </si>
  <si>
    <t>CCl2F2</t>
  </si>
  <si>
    <t>Éthane</t>
  </si>
  <si>
    <t>CFC-13</t>
  </si>
  <si>
    <t>CClF3</t>
  </si>
  <si>
    <t>Coke de charbon</t>
  </si>
  <si>
    <t>Règlement sur la déclaration obligatoire de certaines émission de contaminants dans l'atmosphère, Loi sur la qualité de l'environnement, Q-2, a.2.2, 109.1 et 124.1.
Utilisation des données CH4 et N2O pour le secteur industriel, centrales thermiques à vape</t>
  </si>
  <si>
    <t>28,2</t>
  </si>
  <si>
    <t>25,1</t>
  </si>
  <si>
    <t>30,2</t>
  </si>
  <si>
    <t>107</t>
  </si>
  <si>
    <t>95,7</t>
  </si>
  <si>
    <t>119</t>
  </si>
  <si>
    <t>Halon 1301</t>
  </si>
  <si>
    <t>CBrF3</t>
  </si>
  <si>
    <t>Coke de pétrole (raffinage)</t>
  </si>
  <si>
    <t>32,5</t>
  </si>
  <si>
    <t>29,7</t>
  </si>
  <si>
    <t>41,9</t>
  </si>
  <si>
    <t>97,5</t>
  </si>
  <si>
    <t>82,9</t>
  </si>
  <si>
    <t>Halon-1211</t>
  </si>
  <si>
    <t>CBrClF2</t>
  </si>
  <si>
    <t>Charbon de bois</t>
  </si>
  <si>
    <t>Enlever</t>
  </si>
  <si>
    <t>29,5</t>
  </si>
  <si>
    <t>14,9</t>
  </si>
  <si>
    <t>58</t>
  </si>
  <si>
    <t>112</t>
  </si>
  <si>
    <t>95</t>
  </si>
  <si>
    <t>132</t>
  </si>
  <si>
    <t>Halon-2402</t>
  </si>
  <si>
    <t>CBrF2CBrF2</t>
  </si>
  <si>
    <t>Liqueur usée de cuisson base sèche</t>
  </si>
  <si>
    <t>85,3</t>
  </si>
  <si>
    <t>110</t>
  </si>
  <si>
    <t>HCFC-123</t>
  </si>
  <si>
    <t>CHCl2CF3</t>
  </si>
  <si>
    <t>Bi-énergie chauffage électrique</t>
  </si>
  <si>
    <t>HCFC-124</t>
  </si>
  <si>
    <t>CHClFCF3</t>
  </si>
  <si>
    <t>GJ</t>
  </si>
  <si>
    <t>HCFC-141b</t>
  </si>
  <si>
    <t>CH3CCl2F</t>
  </si>
  <si>
    <t>Vapeur</t>
  </si>
  <si>
    <t>Lbs</t>
  </si>
  <si>
    <t>HCFC-142b</t>
  </si>
  <si>
    <t>CH3CClF2</t>
  </si>
  <si>
    <t>Biomasse résiduelle</t>
  </si>
  <si>
    <t>15,6</t>
  </si>
  <si>
    <t>7,9</t>
  </si>
  <si>
    <t>HCFC-225ca</t>
  </si>
  <si>
    <t>CHCl2CF2CF3</t>
  </si>
  <si>
    <t>Écorces</t>
  </si>
  <si>
    <t>Forintek avec valeur de la biomasse pour les émissions</t>
  </si>
  <si>
    <t>HCFC-225cb</t>
  </si>
  <si>
    <t>CHClFCF2CClF2</t>
  </si>
  <si>
    <t>Gaz de distillation (de valorisation)</t>
  </si>
  <si>
    <t>Hexafluorure de soufre</t>
  </si>
  <si>
    <t>SF6</t>
  </si>
  <si>
    <t>CRD</t>
  </si>
  <si>
    <t>note: rebus de construction</t>
  </si>
  <si>
    <t>42,76</t>
  </si>
  <si>
    <t>HFC-125</t>
  </si>
  <si>
    <t>C2HF5</t>
  </si>
  <si>
    <t>Lubrifiants (huiles usées)</t>
  </si>
  <si>
    <t>HFC-134</t>
  </si>
  <si>
    <t>CHF2CHF2</t>
  </si>
  <si>
    <t>Mazout léger no 1</t>
  </si>
  <si>
    <t>Règlement sur la déclaration obligatoire de certaines émission de contaminants dans l'atmosphère, Loi sur la qualité de l'environnement, Q-2, a.2.2, 109.1 et 124.1
Utilisation des données pour autoconsommation</t>
  </si>
  <si>
    <t>HFC-143</t>
  </si>
  <si>
    <t>C2H3F3</t>
  </si>
  <si>
    <t>Coke de pétrole (de valorisation)</t>
  </si>
  <si>
    <t>HFC-143a</t>
  </si>
  <si>
    <t>Éthanol (100%)</t>
  </si>
  <si>
    <t>HFC-152a</t>
  </si>
  <si>
    <t>C2H4F2</t>
  </si>
  <si>
    <t>Biodiésel</t>
  </si>
  <si>
    <t>HFC-161</t>
  </si>
  <si>
    <t>C2H5F</t>
  </si>
  <si>
    <t>Gras animal fondu</t>
  </si>
  <si>
    <t>HFC-227ea</t>
  </si>
  <si>
    <t>C3HF7</t>
  </si>
  <si>
    <t>Huile végétale</t>
  </si>
  <si>
    <t>HFC-23</t>
  </si>
  <si>
    <t>CHF3</t>
  </si>
  <si>
    <t>Charbon bitumineux étranger</t>
  </si>
  <si>
    <t>Règlement sur la déclaration obligatoire de certaines émission de contaminants dans l'atmosphère, Loi sur la qualité de l'environnement, Q-2, a.2.2, 109.1 et 124.1.
Utilisation du charbon américain.
Utilisation des données CH4 et N2O pour le secteur indus</t>
  </si>
  <si>
    <t>HFC-236cb</t>
  </si>
  <si>
    <t>C3H2F6</t>
  </si>
  <si>
    <t>Matières résiduelles collectés par une municipalité</t>
  </si>
  <si>
    <t>Règlement sur la déclaration obligatoire de certaines émission de contaminants dans l'atmosphère, Loi sur la qualité de l'environnement, Q-2, a.2.2, 109.1 et 124.1.z</t>
  </si>
  <si>
    <t>HFC-236ea</t>
  </si>
  <si>
    <t>Tourbe</t>
  </si>
  <si>
    <t>Règlement sur la déclaration obligatoire de certaines émission de contaminants dans l'atmosphère, Loi sur la qualité de l'environnement, Q-2, a.2.2, 109.1 et 124.1
1 kg donne 11,57 MJ</t>
  </si>
  <si>
    <t>HFC-236fa</t>
  </si>
  <si>
    <t>Pneus</t>
  </si>
  <si>
    <t>HFC-245ca</t>
  </si>
  <si>
    <t>C3H3F5</t>
  </si>
  <si>
    <t>Sous-produits agricoles (qui ne sont pas destinés à la consommation)</t>
  </si>
  <si>
    <t>HFC-245fa</t>
  </si>
  <si>
    <t>Sous-produits de la biomasse (résidus animaux et végétaux, excluant les résidus de bois et la liqueur de cuisson)</t>
  </si>
  <si>
    <t>CHF 2CH 2CF 3</t>
  </si>
  <si>
    <t>Gaz de cokerie</t>
  </si>
  <si>
    <t>HFC-32</t>
  </si>
  <si>
    <t>CH2F2</t>
  </si>
  <si>
    <t>Biogaz (portion méthane)</t>
  </si>
  <si>
    <t>HFC-365mfc</t>
  </si>
  <si>
    <t>Gaz d'enfouissement (portion méthane)</t>
  </si>
  <si>
    <t>C4H5F5</t>
  </si>
  <si>
    <t>Biocharbon</t>
  </si>
  <si>
    <t>HFC-41</t>
  </si>
  <si>
    <t>CH3F</t>
  </si>
  <si>
    <t>HFC-43-10mee</t>
  </si>
  <si>
    <t>C5H2F10</t>
  </si>
  <si>
    <t>Méthane (R-50)</t>
  </si>
  <si>
    <t>Méthylchloroforme</t>
  </si>
  <si>
    <t>CH3CCl3</t>
  </si>
  <si>
    <t>Oxyde nitreux (R-744a)</t>
  </si>
  <si>
    <t>Oxyfume 88/12</t>
  </si>
  <si>
    <t>0,914(HCFC-124)+0,086(ethylene oxyde)</t>
  </si>
  <si>
    <t>Sterilant product. U.S. Clean Air Act regulations will ban the sale and use of most HCFC-based products like Oxyfume in the United States as of Dec. 31, 2014. This registered mark will not be manufactured after december 31, 2013,</t>
  </si>
  <si>
    <t>Perfluorobutane (PFC-3-1-10)</t>
  </si>
  <si>
    <t>C4F10</t>
  </si>
  <si>
    <t>Perfluorocyclobutane (PFC-318)</t>
  </si>
  <si>
    <t>c-C4F8</t>
  </si>
  <si>
    <t>Perfluoroéthane (PFC-116)</t>
  </si>
  <si>
    <t>C2F6</t>
  </si>
  <si>
    <t>Perfluorohexane (PFC5-1-14)</t>
  </si>
  <si>
    <t>C6F14</t>
  </si>
  <si>
    <t>Perfluorométhane (PFC-14)</t>
  </si>
  <si>
    <t>CF4</t>
  </si>
  <si>
    <t>Perfluoropentane (PFC-4-1-12)</t>
  </si>
  <si>
    <t>C5F12</t>
  </si>
  <si>
    <t>Perfluoropropane (PFC-218)</t>
  </si>
  <si>
    <t>C3F8</t>
  </si>
  <si>
    <t>R-400</t>
  </si>
  <si>
    <t>0,5(CFC-12)+0,5(CFC-114)</t>
  </si>
  <si>
    <t>R-401A</t>
  </si>
  <si>
    <t>0,53(HCFC-22)+0,34(HCFC-124)+0,13(HFC-152a)</t>
  </si>
  <si>
    <t>R-401B</t>
  </si>
  <si>
    <t>0,61(HCFC-22)+0,28(HCFC-124)+0,11(HFC-152a)</t>
  </si>
  <si>
    <t>Code_Activité</t>
  </si>
  <si>
    <t>Activité</t>
  </si>
  <si>
    <t>GrandConsom</t>
  </si>
  <si>
    <t>Coût_Interne</t>
  </si>
  <si>
    <t>Coût_externe</t>
  </si>
  <si>
    <t>Coût</t>
  </si>
  <si>
    <t>Aide_demande</t>
  </si>
  <si>
    <t>CatMEE</t>
  </si>
  <si>
    <t>R-401C</t>
  </si>
  <si>
    <t>0,33(HCFC-22)+0,15(HFC-152a)+0,52(HCFC-124)</t>
  </si>
  <si>
    <t>Changes in atmospheric constituents and in radiative forcing (table 2.14 100-yr TAR) et Règlement sur la déclaration obligatoire de certaines émission de contaminants dans l'atmosphère, Loi sur la qualité de l'environnement, Q-2, a.2.2, 109.1 et 124.1</t>
  </si>
  <si>
    <t>R-402A</t>
  </si>
  <si>
    <t>0,6(HFC-125)+0,38(HCFC-22)+0,02(C3H8)</t>
  </si>
  <si>
    <t>R-402B</t>
  </si>
  <si>
    <t>0,38(HFC-125)+0,60(HCFC-22)+0,02(C3H8)</t>
  </si>
  <si>
    <t>R-403A</t>
  </si>
  <si>
    <t>0,05(C3H8)+0,75(HCFC-22)+0,2(C3F8)</t>
  </si>
  <si>
    <t>R-403B</t>
  </si>
  <si>
    <t>0,05(C3H8)+0,56(HCFC-22)+0,39(C3F8)</t>
  </si>
  <si>
    <t>R-405A</t>
  </si>
  <si>
    <t>0,45(22)+0,07(152a)+0,055(142b)+0,425(C318)</t>
  </si>
  <si>
    <t>R-406A</t>
  </si>
  <si>
    <t>0,55(HCFC-22)+,04(R-600a)+0,41(HCFC-142b)</t>
  </si>
  <si>
    <t>R-407B</t>
  </si>
  <si>
    <t>0,1(HFC-32)+0,7(HFC-125)+0,2(HFC-134a)</t>
  </si>
  <si>
    <t>R-407C</t>
  </si>
  <si>
    <t>0,23(HFC-32)+0,25(HFC-125)+0,52(HFC-134a)</t>
  </si>
  <si>
    <t>R-407D</t>
  </si>
  <si>
    <t>0,15(HFC-32)+0,15(HFC-125)+0,7(HFC-134a)</t>
  </si>
  <si>
    <t>R-407E</t>
  </si>
  <si>
    <t>0,25(HFC-32)+0,15(HFC-125)+0,6(HFC-134a)</t>
  </si>
  <si>
    <t>R-408A</t>
  </si>
  <si>
    <t>0,47(HCFC-22)+0,46(HFC-143a)+0,07(HFC-125)</t>
  </si>
  <si>
    <t>R-409A</t>
  </si>
  <si>
    <t>0,6(HCFC-22)+0,25(HCFC-124)+0,15(HCFC-142b)</t>
  </si>
  <si>
    <t>R-409B</t>
  </si>
  <si>
    <t>0,65(HCFC-22)+0,25(HCFC-124)+0,1(HCFC-142b)</t>
  </si>
  <si>
    <t>R-410A</t>
  </si>
  <si>
    <t>0,5(HFC-125)+0,5(HFC-32)</t>
  </si>
  <si>
    <t>R-410B</t>
  </si>
  <si>
    <t>0,45(HFC-125)+0,55(HFC-32)</t>
  </si>
  <si>
    <t>Code_Org</t>
  </si>
  <si>
    <t>Partenaire</t>
  </si>
  <si>
    <t>Detail</t>
  </si>
  <si>
    <t>Type_aide</t>
  </si>
  <si>
    <t>Contribution</t>
  </si>
  <si>
    <t>Pourcent</t>
  </si>
  <si>
    <t>R-411A</t>
  </si>
  <si>
    <t>0,015*(R-1270)+0,875(HFC-22)+,11(HFC-152a)</t>
  </si>
  <si>
    <t>Règlement sur la déclaration obligatoire de certaines émission de contaminants dans l'atmosphère, Loi sur la qualité de l'environnement, Q-2, a.2.2, 109.1 et 124.1 (note additionnelle: le 1,5% de propylene (R1270) a été négligé dans le calcul)</t>
  </si>
  <si>
    <t>R-411B</t>
  </si>
  <si>
    <t>0,03*(R-1270)+0,94(HFC-22)+,03(HFC-152a)</t>
  </si>
  <si>
    <t>R-412A</t>
  </si>
  <si>
    <t>0,7(HCFC-22)+0,05(PFC-218)+0,25(HCFC-142b)</t>
  </si>
  <si>
    <t>R-413A</t>
  </si>
  <si>
    <t>0,09(PFC-218)+0,88(HFC-134a)+0,03*(600a)</t>
  </si>
  <si>
    <t>Règlement sur la déclaration obligatoire de certaines émission de contaminants dans l'atmosphère, Loi sur la qualité de l'environnement, Q-2, a.2.2, 109.1 et 124.1 (note additionnelle: PRP du butane utilisé pour le PRP de l'isobutane)</t>
  </si>
  <si>
    <t>R-414A</t>
  </si>
  <si>
    <t>0,51(R-22)+0,285(HCFC-124)+,04*(600a)+0,165(142b)</t>
  </si>
  <si>
    <t>R-414B</t>
  </si>
  <si>
    <t>0,5(R-22)+0,39(HCFC-124)+,015*(600a)+0,095(142b)</t>
  </si>
  <si>
    <t>R-415A</t>
  </si>
  <si>
    <t>0,82(HFC-22)+0,18(HFC-152a)</t>
  </si>
  <si>
    <t>R-415B</t>
  </si>
  <si>
    <t>0,25(HFC-22)+0,75(HFC-152a)</t>
  </si>
  <si>
    <t>R-416A</t>
  </si>
  <si>
    <t>0,59(HFC-134a)+0,395(HCFC-124)+0,015(600)</t>
  </si>
  <si>
    <t>Code_FrmNRJ</t>
  </si>
  <si>
    <t>Unité</t>
  </si>
  <si>
    <t>Quantité</t>
  </si>
  <si>
    <t>GES (t)</t>
  </si>
  <si>
    <t>$/GJ</t>
  </si>
  <si>
    <t>GJ/production</t>
  </si>
  <si>
    <t>R-417A</t>
  </si>
  <si>
    <t>0,466(HFC-125)+0,5(HFC-134a)+0,034(600)</t>
  </si>
  <si>
    <t>R-418A</t>
  </si>
  <si>
    <t>0,015(propane)+0,96(HCFC-22)+0,025(HFC-152a)</t>
  </si>
  <si>
    <t>R-419A</t>
  </si>
  <si>
    <t>0,77(HFC-125)+0,19(HFC-134a)+0,04(ethane)</t>
  </si>
  <si>
    <t>R-420A</t>
  </si>
  <si>
    <t>0,88(HFC-134a)+0,12(HCFC-142b)</t>
  </si>
  <si>
    <t>R-421A</t>
  </si>
  <si>
    <t>0,58(HFC-125)+0,42(HFC-134a)</t>
  </si>
  <si>
    <t>R-421B</t>
  </si>
  <si>
    <t>0,85(HFC-125)+0,15(HFC-134a)</t>
  </si>
  <si>
    <t>R-422A</t>
  </si>
  <si>
    <t>0,851(HFC-125)+0,115(HFC-134a)+0,034*(600a)</t>
  </si>
  <si>
    <t>R-422B</t>
  </si>
  <si>
    <t>0,55(HFC-125)+0,42(HFC-134a)+0,03*(600a)</t>
  </si>
  <si>
    <t>No</t>
  </si>
  <si>
    <t>Type</t>
  </si>
  <si>
    <t>Capacité_Actuel</t>
  </si>
  <si>
    <t>Code_Refrig_Actuel</t>
  </si>
  <si>
    <t>Ref_actuel</t>
  </si>
  <si>
    <t>Formule_actuel</t>
  </si>
  <si>
    <t>PRPActuel</t>
  </si>
  <si>
    <t>Charge_Actuel</t>
  </si>
  <si>
    <t>Code_unite_Actuel</t>
  </si>
  <si>
    <t>Unite_actuel</t>
  </si>
  <si>
    <t>Taux_Fuite</t>
  </si>
  <si>
    <t xml:space="preserve">fuites_Actuel </t>
  </si>
  <si>
    <t>GES_actuel</t>
  </si>
  <si>
    <t>Capacité_Prevu</t>
  </si>
  <si>
    <t>Code_Refrig_Prevu</t>
  </si>
  <si>
    <t>Ref_prevu</t>
  </si>
  <si>
    <t>Formule_prevu</t>
  </si>
  <si>
    <t>PRPprevu</t>
  </si>
  <si>
    <t>Charge_prevu</t>
  </si>
  <si>
    <t>Code_unite_prevu</t>
  </si>
  <si>
    <t>Unite_prevu</t>
  </si>
  <si>
    <t xml:space="preserve">fuites_prevu </t>
  </si>
  <si>
    <t>GES_prevu</t>
  </si>
  <si>
    <t>R-422C</t>
  </si>
  <si>
    <t>0,82(HFC-125)+0,15(HFC-134a)+0,03*(600a)</t>
  </si>
  <si>
    <t>R-423A</t>
  </si>
  <si>
    <t>0,525(HFC-134a)+0,475(HFC-227ea)</t>
  </si>
  <si>
    <t>R-424A</t>
  </si>
  <si>
    <t>,505(125)+,47(134a)+0,09(600a)+,01(600)+,006(601a)</t>
  </si>
  <si>
    <t>Règlement sur la déclaration obligatoire de certaines émission de contaminants dans l'atmosphère, Loi sur la qualité de l'environnement, Q-2, a.2.2, 109.1 et 124.1 (note dditionnelle: Pentane (601) et isopentane (601a) sont négligés et Butane (600) et iso</t>
  </si>
  <si>
    <t>R-425A</t>
  </si>
  <si>
    <t>0,185(HFC-32)+0,695(HFC-134a)+0,12(HFC-227ea)</t>
  </si>
  <si>
    <t>R-426A</t>
  </si>
  <si>
    <t>0,051(HFC-125)+0,93(134a)+0,013(600a)+0,006(601a)</t>
  </si>
  <si>
    <t>R-427A</t>
  </si>
  <si>
    <t>0,15(HFC32)+,25(HFC125)+,1(HFC143a)+,5(HFC134a)</t>
  </si>
  <si>
    <t>R-428A</t>
  </si>
  <si>
    <t>,775(HFC125)+,2(HFC143a)+,006(propane)+0,019(600a)</t>
  </si>
  <si>
    <t>R-438A</t>
  </si>
  <si>
    <t>,085(32)+,45(125)+,442(134a)+,017(600)+,006*(601a)</t>
  </si>
  <si>
    <t>Code_Volet</t>
  </si>
  <si>
    <t>Code_composante</t>
  </si>
  <si>
    <t>QTE</t>
  </si>
  <si>
    <t>R-500</t>
  </si>
  <si>
    <t>0,735(CFC-12)+0,262(HFC-152a)</t>
  </si>
  <si>
    <t>R-501</t>
  </si>
  <si>
    <t>0,75(HCFC-22)+0,25(CFC-12)</t>
  </si>
  <si>
    <t>R-502</t>
  </si>
  <si>
    <t>0,488(HCFC-22)+0,512(CFC-115)</t>
  </si>
  <si>
    <t>R-503</t>
  </si>
  <si>
    <t>0,401(HFC-23)+0,599(CFC-13)</t>
  </si>
  <si>
    <t>R-504</t>
  </si>
  <si>
    <t>0,482(HFC-32)+0,518(CFC-115)</t>
  </si>
  <si>
    <t>R-508A</t>
  </si>
  <si>
    <t>0,39(HFC-23)+0,61(PFC-116)</t>
  </si>
  <si>
    <t>R-508B</t>
  </si>
  <si>
    <t>0,46(HFC-23)+0,54(PFC-116)</t>
  </si>
  <si>
    <t>R-509A</t>
  </si>
  <si>
    <t>0,44(HCFC-22)+0,56(PFC-218)</t>
  </si>
  <si>
    <t>Tétrachlorure de carbone</t>
  </si>
  <si>
    <t>CCl4</t>
  </si>
  <si>
    <t>Trifluorure d'azote</t>
  </si>
  <si>
    <t>NF3</t>
  </si>
  <si>
    <t>N/A</t>
  </si>
  <si>
    <t>der</t>
  </si>
  <si>
    <t>NEQ</t>
  </si>
  <si>
    <t>Code SCIAN</t>
  </si>
  <si>
    <t>Type entreprise</t>
  </si>
  <si>
    <t>Nom site</t>
  </si>
  <si>
    <t>Adresse</t>
  </si>
  <si>
    <t>Municipalité</t>
  </si>
  <si>
    <t>Code postal</t>
  </si>
  <si>
    <t>Entreprise</t>
  </si>
  <si>
    <t>Code_entreprise</t>
  </si>
  <si>
    <t>Regr_Entreprise</t>
  </si>
  <si>
    <t>Tjatteint</t>
  </si>
  <si>
    <t>litre/an</t>
  </si>
  <si>
    <t>taux participation</t>
  </si>
  <si>
    <t>Type_Depense</t>
  </si>
  <si>
    <t>Cint</t>
  </si>
  <si>
    <t>Cext</t>
  </si>
  <si>
    <t>Ctot</t>
  </si>
  <si>
    <t>CintProj</t>
  </si>
  <si>
    <t>CextProj</t>
  </si>
  <si>
    <t>CtotProj</t>
  </si>
  <si>
    <t>Entente type Base de référence Vf.docx</t>
  </si>
  <si>
    <t>https://burovirtuel.sharepoint.com/teams/TEQ-Exemplaritdeltat/Shared%20Documents/Projet%20EEGarantie/Base%20de%20r%C3%A9f%C3%A9rence/Entente%20type%20Base%20de%20r%C3%A9f%C3%A9rence%20Vf.docx?web=1</t>
  </si>
  <si>
    <t>Champs Entente type</t>
  </si>
  <si>
    <t>Formulaire, Data2</t>
  </si>
  <si>
    <t>champs apparaît si identique</t>
  </si>
  <si>
    <t>inscrire champs, si semblable, équivalent</t>
  </si>
  <si>
    <t>No_COntrat</t>
  </si>
  <si>
    <t>REQUÉRANT</t>
  </si>
  <si>
    <t>SignAdress</t>
  </si>
  <si>
    <t>SignVille</t>
  </si>
  <si>
    <t>Signom</t>
  </si>
  <si>
    <t>SignTitremin</t>
  </si>
  <si>
    <t>Fem</t>
  </si>
  <si>
    <t>Fem2</t>
  </si>
  <si>
    <t>TEQnom</t>
  </si>
  <si>
    <t>TEQSignAutoTitreMin</t>
  </si>
  <si>
    <t>Date_DemandeTxt</t>
  </si>
  <si>
    <t>MOntantsub</t>
  </si>
  <si>
    <t>MOntantmax</t>
  </si>
  <si>
    <t>Montantadmtxt</t>
  </si>
  <si>
    <t>DAteVersionCN</t>
  </si>
  <si>
    <t>Paiement1</t>
  </si>
  <si>
    <t>Paiement2</t>
  </si>
  <si>
    <t>TEQSignAutoTitreAbrev</t>
  </si>
  <si>
    <t>TEQSignAuto</t>
  </si>
  <si>
    <t>TEQSignAutoArt</t>
  </si>
  <si>
    <t>TEQSignAtrCi</t>
  </si>
  <si>
    <t>TEQChargAppelmin</t>
  </si>
  <si>
    <t>TEQChargPrenom</t>
  </si>
  <si>
    <t>TEQCHargNom</t>
  </si>
  <si>
    <t>TEQChargfem</t>
  </si>
  <si>
    <t>TEQCHargTitremin</t>
  </si>
  <si>
    <t>SignAppelmin</t>
  </si>
  <si>
    <t>SignPrénom</t>
  </si>
  <si>
    <t>Signnom</t>
  </si>
  <si>
    <t>FEM3</t>
  </si>
  <si>
    <t>RepAppelmin</t>
  </si>
  <si>
    <t>Prénom</t>
  </si>
  <si>
    <t>Nom</t>
  </si>
  <si>
    <t>TitreRepmin</t>
  </si>
  <si>
    <t>Extensioncharge</t>
  </si>
  <si>
    <t>CourrielCharg</t>
  </si>
  <si>
    <t>Appel_Appel</t>
  </si>
  <si>
    <t>Titre</t>
  </si>
  <si>
    <t>Entreprise_Contact</t>
  </si>
  <si>
    <t>Adresse_Contact</t>
  </si>
  <si>
    <t>Ville_Contact</t>
  </si>
  <si>
    <t>Province</t>
  </si>
  <si>
    <t>CP_Contact</t>
  </si>
  <si>
    <t>Tel_Contact</t>
  </si>
  <si>
    <t>Poste_tel</t>
  </si>
  <si>
    <t>Fax_Contact</t>
  </si>
  <si>
    <t>Courriel_Contact</t>
  </si>
  <si>
    <t>DAtedebcontrattxt</t>
  </si>
  <si>
    <t>Datefinprojet</t>
  </si>
  <si>
    <t>Datefincontrattxt</t>
  </si>
  <si>
    <t>SignTitre</t>
  </si>
  <si>
    <t>requerant</t>
  </si>
  <si>
    <t>TEQSignAutoTitre</t>
  </si>
  <si>
    <t xml:space="preserve">Plan d'implantation des mesures </t>
  </si>
  <si>
    <t>Nom du requérant :</t>
  </si>
  <si>
    <t xml:space="preserve"> Personne-ressource  :    </t>
  </si>
  <si>
    <r>
      <t>N</t>
    </r>
    <r>
      <rPr>
        <sz val="8"/>
        <rFont val="Arial"/>
        <family val="2"/>
      </rPr>
      <t>º</t>
    </r>
    <r>
      <rPr>
        <sz val="8"/>
        <rFont val="Arial"/>
        <family val="2"/>
      </rPr>
      <t xml:space="preserve"> de l'entente : </t>
    </r>
  </si>
  <si>
    <t xml:space="preserve">Date du plan :    </t>
  </si>
  <si>
    <t>Tableau sommaire du plan d'implantation</t>
  </si>
  <si>
    <t>Plan d'action et suivi par le requérant</t>
  </si>
  <si>
    <r>
      <t>Mesure n°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>(1)</t>
    </r>
  </si>
  <si>
    <t>Description</t>
  </si>
  <si>
    <t>Type
d'émission</t>
  </si>
  <si>
    <t>Consommation de référence</t>
  </si>
  <si>
    <t>Potentiel de réduction</t>
  </si>
  <si>
    <t>Investissement</t>
  </si>
  <si>
    <t>Aide potentielle
(si applicable)</t>
  </si>
  <si>
    <r>
      <t xml:space="preserve">PRI </t>
    </r>
    <r>
      <rPr>
        <vertAlign val="superscript"/>
        <sz val="7"/>
        <rFont val="Arial"/>
        <family val="2"/>
      </rPr>
      <t>(4)</t>
    </r>
  </si>
  <si>
    <r>
      <t>Engagement 
(maximum 10 ans)</t>
    </r>
    <r>
      <rPr>
        <vertAlign val="superscript"/>
        <sz val="7"/>
        <rFont val="Arial"/>
        <family val="2"/>
      </rPr>
      <t>(5)</t>
    </r>
  </si>
  <si>
    <t>Durée de vie</t>
  </si>
  <si>
    <r>
      <t xml:space="preserve">Recommandation </t>
    </r>
    <r>
      <rPr>
        <vertAlign val="superscript"/>
        <sz val="7"/>
        <rFont val="Arial"/>
        <family val="2"/>
      </rPr>
      <t>(6)</t>
    </r>
  </si>
  <si>
    <t>Remarques</t>
  </si>
  <si>
    <r>
      <t xml:space="preserve">Action </t>
    </r>
    <r>
      <rPr>
        <vertAlign val="superscript"/>
        <sz val="7"/>
        <rFont val="Arial"/>
        <family val="2"/>
      </rPr>
      <t>(7)</t>
    </r>
  </si>
  <si>
    <t>Année de réalisation prévue</t>
  </si>
  <si>
    <t>Aide financière demandée au BEIE</t>
  </si>
  <si>
    <t>Année de réalisation réelle</t>
  </si>
  <si>
    <r>
      <t>Forme d'énergie ou PRP</t>
    </r>
    <r>
      <rPr>
        <vertAlign val="superscript"/>
        <sz val="7"/>
        <rFont val="Arial"/>
        <family val="2"/>
      </rPr>
      <t xml:space="preserve"> (2)</t>
    </r>
  </si>
  <si>
    <t>Teneur
Humidité
%</t>
  </si>
  <si>
    <t>Quantité/an</t>
  </si>
  <si>
    <r>
      <t xml:space="preserve">Quantité/unité de prod. </t>
    </r>
    <r>
      <rPr>
        <vertAlign val="superscript"/>
        <sz val="7"/>
        <rFont val="Arial"/>
        <family val="2"/>
      </rPr>
      <t>(3)</t>
    </r>
  </si>
  <si>
    <t>Unité prod.</t>
  </si>
  <si>
    <t>Prix unitaire</t>
  </si>
  <si>
    <t>$/an</t>
  </si>
  <si>
    <t>GJ/an</t>
  </si>
  <si>
    <t>GES (t/an)</t>
  </si>
  <si>
    <t>Sans aide ($)</t>
  </si>
  <si>
    <t>Avec aide ($)</t>
  </si>
  <si>
    <t>($)</t>
  </si>
  <si>
    <t>Source de l'aide</t>
  </si>
  <si>
    <t>Sans aide (an)</t>
  </si>
  <si>
    <t>Avec aide (an)</t>
  </si>
  <si>
    <t>Coûts
internes</t>
  </si>
  <si>
    <t>Coûts
externes</t>
  </si>
  <si>
    <t>Coûts
totaux</t>
  </si>
  <si>
    <t>No_Mesure</t>
  </si>
  <si>
    <t>Type_Emission</t>
  </si>
  <si>
    <t>NRJ/PRP</t>
  </si>
  <si>
    <t>UNITE</t>
  </si>
  <si>
    <t>TH</t>
  </si>
  <si>
    <t>QteRef</t>
  </si>
  <si>
    <t>Cons_Spec</t>
  </si>
  <si>
    <t>UNiteProd</t>
  </si>
  <si>
    <t>QteProj</t>
  </si>
  <si>
    <t>Coutunit</t>
  </si>
  <si>
    <t>CoutNRJ</t>
  </si>
  <si>
    <t>GES</t>
  </si>
  <si>
    <t>Iaa</t>
  </si>
  <si>
    <t>S</t>
  </si>
  <si>
    <t>Aideref</t>
  </si>
  <si>
    <t>PRIsa</t>
  </si>
  <si>
    <t>PRIaa</t>
  </si>
  <si>
    <t>Vie</t>
  </si>
  <si>
    <t>Recommandation (6)</t>
  </si>
  <si>
    <t>Action (7)</t>
  </si>
  <si>
    <t>Anprev</t>
  </si>
  <si>
    <t>AidedemR</t>
  </si>
  <si>
    <t>Anreel</t>
  </si>
  <si>
    <t>Aidedem</t>
  </si>
  <si>
    <t>Type_Emisison</t>
  </si>
  <si>
    <t>Code_NRJ/PRP</t>
  </si>
  <si>
    <t>GesAmont</t>
  </si>
  <si>
    <t>Code_Fin_Autre</t>
  </si>
  <si>
    <t>Code_recom</t>
  </si>
  <si>
    <t>Code_Action</t>
  </si>
  <si>
    <t>(1) Si, pour une même mesure, il y a des réductions ou des augmentations de la consommation énergétique ou que la mesure implique différentes  formes d'énergie, celles-ci doivent être présentées sur des lignes différentes.</t>
  </si>
  <si>
    <t>(6) Recommandation</t>
  </si>
  <si>
    <t>(7) Action</t>
  </si>
  <si>
    <r>
      <t xml:space="preserve">    Voir le </t>
    </r>
    <r>
      <rPr>
        <i/>
        <sz val="8"/>
        <rFont val="Arial"/>
        <family val="2"/>
      </rPr>
      <t>Guide détaillé du requérant</t>
    </r>
    <r>
      <rPr>
        <sz val="8"/>
        <rFont val="Arial"/>
        <family val="2"/>
      </rPr>
      <t xml:space="preserve"> pour plus de détails</t>
    </r>
  </si>
  <si>
    <t>(2) Formes d'énergie et unités énergétiques :</t>
  </si>
  <si>
    <t xml:space="preserve">      I-Implanter</t>
  </si>
  <si>
    <t xml:space="preserve">     1- Implantée</t>
  </si>
  <si>
    <t>(3) Si applicable, spécifiez l'unité de production</t>
  </si>
  <si>
    <t xml:space="preserve">     N-Ne rien faire</t>
  </si>
  <si>
    <t xml:space="preserve">     2- En cours d'implantation</t>
  </si>
  <si>
    <r>
      <t xml:space="preserve">(4) La </t>
    </r>
    <r>
      <rPr>
        <b/>
        <sz val="8"/>
        <rFont val="Arial"/>
        <family val="2"/>
      </rPr>
      <t xml:space="preserve">PRI </t>
    </r>
    <r>
      <rPr>
        <sz val="8"/>
        <rFont val="Arial"/>
        <family val="2"/>
      </rPr>
      <t xml:space="preserve">est définie comme étant le rapport : </t>
    </r>
  </si>
  <si>
    <t xml:space="preserve">     E-Étude supplémentaire requise</t>
  </si>
  <si>
    <t xml:space="preserve">     3- Dans la prochaine année</t>
  </si>
  <si>
    <t xml:space="preserve">      Coûts du projet/économies nettes liées à la consommation énergétique (différence entre réductions et augmentations)</t>
  </si>
  <si>
    <t xml:space="preserve">     4- D'ici deux ans</t>
  </si>
  <si>
    <r>
      <t xml:space="preserve">      Se référer au </t>
    </r>
    <r>
      <rPr>
        <i/>
        <sz val="8"/>
        <rFont val="Arial"/>
        <family val="2"/>
      </rPr>
      <t>Guide détaillé du requérant</t>
    </r>
    <r>
      <rPr>
        <sz val="8"/>
        <rFont val="Arial"/>
        <family val="2"/>
      </rPr>
      <t xml:space="preserve"> pour d'autres détails</t>
    </r>
  </si>
  <si>
    <t xml:space="preserve">     5- Ne sera pas implantée</t>
  </si>
  <si>
    <t>(5) Pour le volet conversion seulement</t>
  </si>
  <si>
    <t>Tableau sommaire des résultats</t>
  </si>
  <si>
    <t>Objectif du projet</t>
  </si>
  <si>
    <t>Écart par rapport à l'objectif (+/-)</t>
  </si>
  <si>
    <t>unité prod.</t>
  </si>
  <si>
    <t>%</t>
  </si>
  <si>
    <t>QteObj</t>
  </si>
  <si>
    <t>GESObj</t>
  </si>
  <si>
    <t>EcartQteObj</t>
  </si>
  <si>
    <t>PourcentEcartObj</t>
  </si>
  <si>
    <t>(2) Formes d'énergie ou composante :</t>
  </si>
  <si>
    <t>(5) Pour les conversions seulement</t>
  </si>
  <si>
    <t>FO_ECOPERF_V1</t>
  </si>
  <si>
    <t>Ministére de la sSanté et des Services Sociaux</t>
  </si>
  <si>
    <t>Ministère duTransport du Québec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</si>
</sst>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#,##0.0"/>
    <numFmt numFmtId="165" formatCode="#,##0.00\ &quot;$&quot;"/>
    <numFmt numFmtId="166" formatCode="yyyy\-mm\-dd;@"/>
    <numFmt numFmtId="167" formatCode="#,##0\ _$"/>
    <numFmt numFmtId="168" formatCode="_ * #,##0.0000_)\ &quot;$&quot;_ ;_ * \(#,##0.0000\)\ &quot;$&quot;_ ;_ * &quot;-&quot;????_)\ &quot;$&quot;_ ;_ @_ 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indexed="9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7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6" fillId="0" borderId="0"/>
  </cellStyleXfs>
  <cellXfs count="191">
    <xf numFmtId="0" fontId="0" fillId="0" borderId="0" xfId="0"/>
    <xf numFmtId="0" fontId="3" fillId="2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0" fontId="10" fillId="0" borderId="5" xfId="0" applyFont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10" fillId="3" borderId="6" xfId="0" applyFont="1" applyFill="1" applyBorder="1"/>
    <xf numFmtId="0" fontId="10" fillId="3" borderId="6" xfId="0" applyFont="1" applyFill="1" applyBorder="1" applyAlignment="1">
      <alignment horizontal="center"/>
    </xf>
    <xf numFmtId="0" fontId="12" fillId="3" borderId="6" xfId="0" applyFont="1" applyFill="1" applyBorder="1"/>
    <xf numFmtId="2" fontId="10" fillId="0" borderId="3" xfId="0" applyNumberFormat="1" applyFont="1" applyBorder="1" applyProtection="1">
      <protection locked="0"/>
    </xf>
    <xf numFmtId="2" fontId="10" fillId="0" borderId="4" xfId="0" applyNumberFormat="1" applyFont="1" applyBorder="1" applyProtection="1">
      <protection locked="0"/>
    </xf>
    <xf numFmtId="0" fontId="16" fillId="4" borderId="7" xfId="2" applyFill="1" applyBorder="1" applyAlignment="1">
      <alignment horizontal="center"/>
    </xf>
    <xf numFmtId="0" fontId="16" fillId="0" borderId="1" xfId="2" applyBorder="1" applyAlignment="1">
      <alignment horizontal="right" wrapText="1"/>
    </xf>
    <xf numFmtId="0" fontId="16" fillId="0" borderId="1" xfId="2" applyBorder="1" applyAlignment="1">
      <alignment wrapText="1"/>
    </xf>
    <xf numFmtId="0" fontId="16" fillId="4" borderId="0" xfId="2" applyFill="1" applyAlignment="1">
      <alignment horizontal="center"/>
    </xf>
    <xf numFmtId="0" fontId="16" fillId="4" borderId="0" xfId="2" applyFill="1"/>
    <xf numFmtId="0" fontId="16" fillId="4" borderId="0" xfId="2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Protection="1"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6" fillId="5" borderId="8" xfId="0" applyFont="1" applyFill="1" applyBorder="1" applyAlignment="1" applyProtection="1">
      <alignment vertical="center"/>
      <protection hidden="1"/>
    </xf>
    <xf numFmtId="165" fontId="0" fillId="0" borderId="0" xfId="0" applyNumberFormat="1" applyProtection="1"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9" fillId="7" borderId="6" xfId="0" applyFont="1" applyFill="1" applyBorder="1" applyAlignment="1">
      <alignment horizontal="center" vertical="center"/>
    </xf>
    <xf numFmtId="0" fontId="16" fillId="4" borderId="7" xfId="3" applyFill="1" applyBorder="1" applyAlignment="1">
      <alignment horizontal="center"/>
    </xf>
    <xf numFmtId="0" fontId="16" fillId="0" borderId="1" xfId="3" applyBorder="1" applyAlignment="1">
      <alignment horizontal="right" wrapText="1"/>
    </xf>
    <xf numFmtId="0" fontId="16" fillId="0" borderId="1" xfId="3" applyBorder="1" applyAlignment="1">
      <alignment wrapText="1"/>
    </xf>
    <xf numFmtId="4" fontId="0" fillId="0" borderId="0" xfId="0" applyNumberFormat="1"/>
    <xf numFmtId="4" fontId="16" fillId="0" borderId="1" xfId="3" applyNumberFormat="1" applyBorder="1" applyAlignment="1">
      <alignment horizontal="right" wrapText="1"/>
    </xf>
    <xf numFmtId="0" fontId="10" fillId="6" borderId="3" xfId="0" applyFont="1" applyFill="1" applyBorder="1" applyAlignment="1" applyProtection="1">
      <alignment horizontal="center"/>
      <protection hidden="1"/>
    </xf>
    <xf numFmtId="3" fontId="10" fillId="6" borderId="3" xfId="0" applyNumberFormat="1" applyFont="1" applyFill="1" applyBorder="1" applyAlignment="1" applyProtection="1">
      <alignment horizontal="center"/>
      <protection hidden="1"/>
    </xf>
    <xf numFmtId="3" fontId="10" fillId="0" borderId="3" xfId="0" applyNumberFormat="1" applyFont="1" applyBorder="1" applyAlignment="1" applyProtection="1">
      <alignment horizontal="center"/>
      <protection locked="0"/>
    </xf>
    <xf numFmtId="3" fontId="10" fillId="0" borderId="4" xfId="0" applyNumberFormat="1" applyFont="1" applyBorder="1" applyAlignment="1" applyProtection="1">
      <alignment horizontal="center"/>
      <protection locked="0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3" fontId="10" fillId="6" borderId="6" xfId="1" applyNumberFormat="1" applyFont="1" applyFill="1" applyBorder="1" applyAlignment="1" applyProtection="1">
      <alignment horizontal="center"/>
      <protection hidden="1"/>
    </xf>
    <xf numFmtId="164" fontId="10" fillId="6" borderId="6" xfId="1" applyNumberFormat="1" applyFont="1" applyFill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0" fillId="0" borderId="9" xfId="0" applyBorder="1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2" fontId="10" fillId="0" borderId="0" xfId="1" applyNumberFormat="1" applyFont="1" applyFill="1" applyBorder="1" applyProtection="1">
      <protection hidden="1"/>
    </xf>
    <xf numFmtId="3" fontId="10" fillId="0" borderId="0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12" fillId="0" borderId="0" xfId="0" applyFont="1"/>
    <xf numFmtId="10" fontId="10" fillId="6" borderId="3" xfId="0" applyNumberFormat="1" applyFont="1" applyFill="1" applyBorder="1" applyAlignment="1" applyProtection="1">
      <alignment horizontal="center"/>
      <protection hidden="1"/>
    </xf>
    <xf numFmtId="168" fontId="10" fillId="0" borderId="3" xfId="1" applyNumberFormat="1" applyFont="1" applyBorder="1" applyAlignment="1" applyProtection="1">
      <alignment horizontal="center"/>
      <protection locked="0"/>
    </xf>
    <xf numFmtId="168" fontId="10" fillId="0" borderId="4" xfId="1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6" fillId="0" borderId="0" xfId="0" applyFont="1"/>
    <xf numFmtId="0" fontId="3" fillId="2" borderId="0" xfId="0" applyFont="1" applyFill="1" applyAlignment="1" applyProtection="1">
      <alignment vertical="center"/>
      <protection hidden="1"/>
    </xf>
    <xf numFmtId="0" fontId="0" fillId="0" borderId="10" xfId="0" applyBorder="1" applyAlignment="1">
      <alignment horizontal="center"/>
    </xf>
    <xf numFmtId="0" fontId="1" fillId="8" borderId="0" xfId="0" applyFont="1" applyFill="1"/>
    <xf numFmtId="0" fontId="0" fillId="8" borderId="0" xfId="0" applyFill="1"/>
    <xf numFmtId="3" fontId="0" fillId="0" borderId="0" xfId="0" applyNumberFormat="1"/>
    <xf numFmtId="0" fontId="0" fillId="0" borderId="0" xfId="0" quotePrefix="1"/>
    <xf numFmtId="0" fontId="1" fillId="0" borderId="0" xfId="0" applyFont="1"/>
    <xf numFmtId="0" fontId="1" fillId="0" borderId="0" xfId="0" applyFont="1" applyProtection="1">
      <protection hidden="1"/>
    </xf>
    <xf numFmtId="10" fontId="0" fillId="0" borderId="0" xfId="0" applyNumberFormat="1"/>
    <xf numFmtId="9" fontId="0" fillId="0" borderId="0" xfId="0" applyNumberFormat="1"/>
    <xf numFmtId="0" fontId="0" fillId="0" borderId="14" xfId="0" applyBorder="1" applyProtection="1">
      <protection locked="0"/>
    </xf>
    <xf numFmtId="0" fontId="10" fillId="3" borderId="6" xfId="0" applyFont="1" applyFill="1" applyBorder="1" applyProtection="1">
      <protection hidden="1"/>
    </xf>
    <xf numFmtId="42" fontId="10" fillId="3" borderId="6" xfId="1" applyNumberFormat="1" applyFont="1" applyFill="1" applyBorder="1" applyProtection="1">
      <protection hidden="1"/>
    </xf>
    <xf numFmtId="0" fontId="10" fillId="0" borderId="0" xfId="0" applyFont="1" applyProtection="1">
      <protection hidden="1"/>
    </xf>
    <xf numFmtId="0" fontId="1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3" fillId="2" borderId="2" xfId="0" applyFont="1" applyFill="1" applyBorder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165" fontId="0" fillId="0" borderId="0" xfId="0" applyNumberFormat="1"/>
    <xf numFmtId="0" fontId="16" fillId="0" borderId="1" xfId="3" applyBorder="1" applyAlignment="1" applyProtection="1">
      <alignment wrapText="1"/>
      <protection locked="0"/>
    </xf>
    <xf numFmtId="9" fontId="10" fillId="6" borderId="3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vertical="center"/>
      <protection hidden="1"/>
    </xf>
    <xf numFmtId="3" fontId="10" fillId="0" borderId="3" xfId="1" applyNumberFormat="1" applyFont="1" applyBorder="1" applyProtection="1">
      <protection locked="0"/>
    </xf>
    <xf numFmtId="3" fontId="10" fillId="0" borderId="4" xfId="1" applyNumberFormat="1" applyFont="1" applyBorder="1" applyProtection="1">
      <protection locked="0"/>
    </xf>
    <xf numFmtId="3" fontId="10" fillId="6" borderId="6" xfId="1" applyNumberFormat="1" applyFont="1" applyFill="1" applyBorder="1" applyProtection="1">
      <protection hidden="1"/>
    </xf>
    <xf numFmtId="167" fontId="10" fillId="0" borderId="3" xfId="1" applyNumberFormat="1" applyFont="1" applyBorder="1" applyProtection="1">
      <protection locked="0"/>
    </xf>
    <xf numFmtId="167" fontId="10" fillId="0" borderId="3" xfId="1" applyNumberFormat="1" applyFont="1" applyFill="1" applyBorder="1" applyProtection="1">
      <protection locked="0"/>
    </xf>
    <xf numFmtId="167" fontId="10" fillId="0" borderId="4" xfId="1" applyNumberFormat="1" applyFont="1" applyBorder="1" applyProtection="1">
      <protection locked="0"/>
    </xf>
    <xf numFmtId="167" fontId="10" fillId="6" borderId="6" xfId="1" applyNumberFormat="1" applyFont="1" applyFill="1" applyBorder="1" applyProtection="1">
      <protection hidden="1"/>
    </xf>
    <xf numFmtId="3" fontId="10" fillId="0" borderId="3" xfId="0" applyNumberFormat="1" applyFont="1" applyBorder="1" applyProtection="1">
      <protection locked="0"/>
    </xf>
    <xf numFmtId="3" fontId="10" fillId="0" borderId="4" xfId="0" applyNumberFormat="1" applyFont="1" applyBorder="1" applyProtection="1">
      <protection locked="0"/>
    </xf>
    <xf numFmtId="0" fontId="13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textRotation="90" wrapText="1"/>
      <protection hidden="1"/>
    </xf>
    <xf numFmtId="0" fontId="10" fillId="0" borderId="0" xfId="0" applyFont="1" applyProtection="1">
      <protection locked="0"/>
    </xf>
    <xf numFmtId="0" fontId="10" fillId="3" borderId="0" xfId="0" applyFont="1" applyFill="1"/>
    <xf numFmtId="4" fontId="16" fillId="0" borderId="1" xfId="3" applyNumberFormat="1" applyBorder="1" applyAlignment="1" applyProtection="1">
      <alignment horizontal="right" wrapText="1"/>
      <protection locked="0"/>
    </xf>
    <xf numFmtId="0" fontId="16" fillId="0" borderId="1" xfId="3" applyBorder="1" applyAlignment="1" applyProtection="1">
      <alignment horizontal="right" wrapText="1"/>
      <protection locked="0"/>
    </xf>
    <xf numFmtId="10" fontId="16" fillId="0" borderId="1" xfId="3" applyNumberFormat="1" applyBorder="1" applyAlignment="1" applyProtection="1">
      <alignment horizontal="right" wrapText="1"/>
      <protection locked="0"/>
    </xf>
    <xf numFmtId="0" fontId="16" fillId="4" borderId="7" xfId="3" applyFill="1" applyBorder="1" applyAlignment="1" applyProtection="1">
      <alignment horizontal="center"/>
      <protection locked="0"/>
    </xf>
    <xf numFmtId="0" fontId="19" fillId="0" borderId="0" xfId="0" applyFont="1"/>
    <xf numFmtId="0" fontId="0" fillId="9" borderId="0" xfId="0" applyFill="1"/>
    <xf numFmtId="0" fontId="2" fillId="0" borderId="0" xfId="0" applyFont="1"/>
    <xf numFmtId="0" fontId="16" fillId="0" borderId="0" xfId="2" applyAlignment="1">
      <alignment wrapText="1"/>
    </xf>
    <xf numFmtId="0" fontId="16" fillId="0" borderId="1" xfId="2" applyBorder="1" applyAlignment="1">
      <alignment horizontal="left" wrapText="1"/>
    </xf>
    <xf numFmtId="0" fontId="0" fillId="0" borderId="0" xfId="0" applyAlignment="1">
      <alignment horizontal="left"/>
    </xf>
    <xf numFmtId="0" fontId="16" fillId="0" borderId="0" xfId="2" applyAlignment="1">
      <alignment horizontal="left"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6" fillId="0" borderId="0" xfId="0" applyFont="1"/>
    <xf numFmtId="0" fontId="23" fillId="0" borderId="0" xfId="0" applyFont="1"/>
    <xf numFmtId="0" fontId="24" fillId="0" borderId="0" xfId="0" applyFont="1" applyAlignment="1">
      <alignment vertical="top" wrapText="1"/>
    </xf>
    <xf numFmtId="0" fontId="2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3" xfId="0" applyFont="1" applyBorder="1"/>
    <xf numFmtId="0" fontId="2" fillId="0" borderId="3" xfId="0" applyFont="1" applyBorder="1"/>
    <xf numFmtId="0" fontId="2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7" fillId="0" borderId="0" xfId="0" applyFont="1" applyAlignment="1">
      <alignment vertical="top" wrapText="1"/>
    </xf>
    <xf numFmtId="0" fontId="20" fillId="0" borderId="3" xfId="0" applyFont="1" applyBorder="1"/>
    <xf numFmtId="0" fontId="0" fillId="0" borderId="3" xfId="0" applyBorder="1"/>
    <xf numFmtId="0" fontId="27" fillId="0" borderId="0" xfId="0" applyFont="1" applyAlignment="1">
      <alignment horizontal="left" vertical="top" wrapText="1" inden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7" fillId="0" borderId="0" xfId="0" applyFont="1" applyAlignment="1">
      <alignment vertical="top"/>
    </xf>
    <xf numFmtId="0" fontId="0" fillId="0" borderId="0" xfId="0" applyAlignment="1">
      <alignment horizontal="center"/>
    </xf>
    <xf numFmtId="0" fontId="10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center"/>
    </xf>
    <xf numFmtId="0" fontId="6" fillId="0" borderId="10" xfId="0" applyFont="1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 textRotation="90" wrapText="1"/>
      <protection hidden="1"/>
    </xf>
    <xf numFmtId="0" fontId="10" fillId="0" borderId="11" xfId="0" applyFont="1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textRotation="90" wrapText="1"/>
      <protection hidden="1"/>
    </xf>
    <xf numFmtId="0" fontId="10" fillId="0" borderId="11" xfId="0" applyFont="1" applyBorder="1" applyAlignment="1" applyProtection="1">
      <alignment horizontal="center" vertical="center" textRotation="90"/>
      <protection hidden="1"/>
    </xf>
    <xf numFmtId="0" fontId="10" fillId="0" borderId="5" xfId="0" applyFont="1" applyBorder="1" applyAlignment="1" applyProtection="1">
      <alignment horizontal="center" vertical="center" textRotation="90"/>
      <protection hidden="1"/>
    </xf>
    <xf numFmtId="0" fontId="0" fillId="0" borderId="10" xfId="0" applyBorder="1" applyProtection="1">
      <protection locked="0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textRotation="90" wrapText="1"/>
      <protection hidden="1"/>
    </xf>
    <xf numFmtId="0" fontId="0" fillId="0" borderId="5" xfId="0" applyBorder="1" applyAlignment="1" applyProtection="1">
      <alignment horizontal="center" vertical="center" textRotation="90" wrapText="1"/>
      <protection hidden="1"/>
    </xf>
    <xf numFmtId="0" fontId="10" fillId="0" borderId="4" xfId="0" applyFont="1" applyBorder="1" applyAlignment="1" applyProtection="1">
      <alignment horizontal="center" vertical="center" textRotation="90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</cellXfs>
  <cellStyles count="4">
    <cellStyle name="Monétaire" xfId="1" builtinId="4"/>
    <cellStyle name="Normal" xfId="0" builtinId="0"/>
    <cellStyle name="Normal_Data" xfId="2" xr:uid="{00000000-0005-0000-0000-000003000000}"/>
    <cellStyle name="Normal_Feuil1" xfId="3" xr:uid="{00000000-0005-0000-0000-000004000000}"/>
  </cellStyles>
  <dxfs count="21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10"/>
        </patternFill>
      </fill>
    </dxf>
    <dxf>
      <fill>
        <patternFill>
          <bgColor indexed="26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2081530</xdr:colOff>
      <xdr:row>6</xdr:row>
      <xdr:rowOff>99060</xdr:rowOff>
    </xdr:to>
    <xdr:pic>
      <xdr:nvPicPr>
        <xdr:cNvPr id="4" name="Image 3" descr="Une image contenant texte, Police, capture d’écran, logo&#10;&#10;Description générée automatiquement">
          <a:extLst>
            <a:ext uri="{FF2B5EF4-FFF2-40B4-BE49-F238E27FC236}">
              <a16:creationId xmlns:a16="http://schemas.microsoft.com/office/drawing/2014/main" id="{CBFCE791-82D3-C121-DAF4-3ACE4FC6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2081530" cy="1070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1381125</xdr:colOff>
      <xdr:row>3</xdr:row>
      <xdr:rowOff>66675</xdr:rowOff>
    </xdr:to>
    <xdr:pic>
      <xdr:nvPicPr>
        <xdr:cNvPr id="5447" name="Image 2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51</xdr:row>
      <xdr:rowOff>3175</xdr:rowOff>
    </xdr:from>
    <xdr:ext cx="3151848" cy="737116"/>
    <xdr:sp macro="" textlink="">
      <xdr:nvSpPr>
        <xdr:cNvPr id="7248" name="Text Box 80">
          <a:extLst>
            <a:ext uri="{FF2B5EF4-FFF2-40B4-BE49-F238E27FC236}">
              <a16:creationId xmlns:a16="http://schemas.microsoft.com/office/drawing/2014/main" id="{00000000-0008-0000-0500-0000501C0000}"/>
            </a:ext>
          </a:extLst>
        </xdr:cNvPr>
        <xdr:cNvSpPr txBox="1">
          <a:spLocks noChangeArrowheads="1"/>
        </xdr:cNvSpPr>
      </xdr:nvSpPr>
      <xdr:spPr bwMode="auto">
        <a:xfrm>
          <a:off x="19608800" y="10042525"/>
          <a:ext cx="2783967" cy="61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Bureau de l'efficacité et de l'innovation énergétiques</a:t>
          </a: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Téléphone : 1 877 727-6655  </a:t>
          </a: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Télécopieur : 418 643-5828  </a:t>
          </a: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Courriel : efficaciteenergetique@mrn.gouv.qc.ca  </a:t>
          </a:r>
        </a:p>
        <a:p>
          <a:pPr algn="l" rtl="0">
            <a:defRPr sz="1000"/>
          </a:pPr>
          <a:r>
            <a:rPr lang="fr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Site Internet : www.efficaciteenergetique.mrn.gouv.qc.ca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85725</xdr:rowOff>
        </xdr:from>
        <xdr:to>
          <xdr:col>8</xdr:col>
          <xdr:colOff>447675</xdr:colOff>
          <xdr:row>5</xdr:row>
          <xdr:rowOff>9525</xdr:rowOff>
        </xdr:to>
        <xdr:sp macro="" textlink="">
          <xdr:nvSpPr>
            <xdr:cNvPr id="7253" name="Button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5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A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Copier du plan d'implantation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3</xdr:row>
      <xdr:rowOff>28575</xdr:rowOff>
    </xdr:to>
    <xdr:pic>
      <xdr:nvPicPr>
        <xdr:cNvPr id="7660" name="Image 2">
          <a:extLst>
            <a:ext uri="{FF2B5EF4-FFF2-40B4-BE49-F238E27FC236}">
              <a16:creationId xmlns:a16="http://schemas.microsoft.com/office/drawing/2014/main" id="{00000000-0008-0000-0500-0000E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1589405</xdr:colOff>
      <xdr:row>2</xdr:row>
      <xdr:rowOff>0</xdr:rowOff>
    </xdr:from>
    <xdr:to>
      <xdr:col>8</xdr:col>
      <xdr:colOff>34405</xdr:colOff>
      <xdr:row>3</xdr:row>
      <xdr:rowOff>57150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638300" y="352425"/>
          <a:ext cx="49680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600">
              <a:latin typeface="Chaloult_Cond_Demi_Gras" panose="00000400000000000000" pitchFamily="2" charset="0"/>
            </a:rPr>
            <a:t>Rapport</a:t>
          </a:r>
          <a:r>
            <a:rPr lang="fr-CA" sz="1600" baseline="0">
              <a:latin typeface="Chaloult_Cond_Demi_Gras" panose="00000400000000000000" pitchFamily="2" charset="0"/>
            </a:rPr>
            <a:t> des résultats du p</a:t>
          </a:r>
          <a:r>
            <a:rPr lang="fr-CA" sz="1600">
              <a:latin typeface="Chaloult_Cond_Demi_Gras" panose="00000400000000000000" pitchFamily="2" charset="0"/>
            </a:rPr>
            <a:t>lan d'implantation des</a:t>
          </a:r>
          <a:r>
            <a:rPr lang="fr-CA" sz="1600" baseline="0">
              <a:latin typeface="Chaloult_Cond_Demi_Gras" panose="00000400000000000000" pitchFamily="2" charset="0"/>
            </a:rPr>
            <a:t> mesures</a:t>
          </a:r>
          <a:endParaRPr lang="fr-CA" sz="1600">
            <a:latin typeface="Chaloult_Cond_Demi_Gras" panose="000004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2:N82"/>
  <sheetViews>
    <sheetView showGridLines="0" tabSelected="1" zoomScaleNormal="100" workbookViewId="0">
      <selection activeCell="C9" sqref="C9"/>
    </sheetView>
  </sheetViews>
  <sheetFormatPr baseColWidth="10" defaultColWidth="11.42578125" defaultRowHeight="12.75" x14ac:dyDescent="0.2"/>
  <cols>
    <col min="1" max="1" width="3.140625" customWidth="1"/>
    <col min="2" max="2" width="4.85546875" style="115" customWidth="1"/>
    <col min="3" max="3" width="130.5703125" style="120" customWidth="1"/>
    <col min="4" max="4" width="14.85546875" style="117" customWidth="1"/>
    <col min="5" max="8" width="14.85546875" customWidth="1"/>
    <col min="12" max="12" width="27.42578125" customWidth="1"/>
  </cols>
  <sheetData>
    <row r="2" spans="3:14" x14ac:dyDescent="0.2">
      <c r="C2"/>
      <c r="D2"/>
      <c r="N2" s="150" t="s">
        <v>0</v>
      </c>
    </row>
    <row r="3" spans="3:14" x14ac:dyDescent="0.2">
      <c r="C3"/>
      <c r="D3"/>
      <c r="N3" s="150"/>
    </row>
    <row r="4" spans="3:14" x14ac:dyDescent="0.2">
      <c r="C4"/>
      <c r="D4"/>
      <c r="N4" s="150"/>
    </row>
    <row r="5" spans="3:14" x14ac:dyDescent="0.2">
      <c r="C5"/>
      <c r="D5"/>
      <c r="N5" s="150"/>
    </row>
    <row r="6" spans="3:14" x14ac:dyDescent="0.2">
      <c r="C6"/>
      <c r="D6"/>
      <c r="N6" s="150"/>
    </row>
    <row r="7" spans="3:14" x14ac:dyDescent="0.2">
      <c r="C7"/>
      <c r="D7"/>
      <c r="N7" s="150"/>
    </row>
    <row r="8" spans="3:14" ht="15.75" x14ac:dyDescent="0.2">
      <c r="C8" s="116" t="s">
        <v>1</v>
      </c>
      <c r="N8" s="151" t="s">
        <v>2</v>
      </c>
    </row>
    <row r="9" spans="3:14" ht="15.75" x14ac:dyDescent="0.2">
      <c r="C9" s="118" t="s">
        <v>3</v>
      </c>
      <c r="N9" s="151" t="s">
        <v>4</v>
      </c>
    </row>
    <row r="10" spans="3:14" x14ac:dyDescent="0.2">
      <c r="C10" s="119"/>
      <c r="N10" s="151" t="s">
        <v>5</v>
      </c>
    </row>
    <row r="11" spans="3:14" x14ac:dyDescent="0.2">
      <c r="C11" s="119" t="s">
        <v>6</v>
      </c>
      <c r="D11" s="117" t="s">
        <v>7</v>
      </c>
      <c r="N11" s="152"/>
    </row>
    <row r="12" spans="3:14" x14ac:dyDescent="0.2">
      <c r="N12" s="151" t="s">
        <v>8</v>
      </c>
    </row>
    <row r="13" spans="3:14" x14ac:dyDescent="0.2">
      <c r="D13" s="121" t="s">
        <v>9</v>
      </c>
      <c r="N13" s="151" t="s">
        <v>10</v>
      </c>
    </row>
    <row r="14" spans="3:14" x14ac:dyDescent="0.2">
      <c r="D14" s="117" t="s">
        <v>11</v>
      </c>
      <c r="N14" s="152"/>
    </row>
    <row r="15" spans="3:14" x14ac:dyDescent="0.2">
      <c r="D15" s="117" t="s">
        <v>12</v>
      </c>
    </row>
    <row r="16" spans="3:14" x14ac:dyDescent="0.2">
      <c r="C16" s="117"/>
      <c r="D16" s="122" t="s">
        <v>13</v>
      </c>
    </row>
    <row r="19" spans="1:12" x14ac:dyDescent="0.2">
      <c r="D19" s="121" t="s">
        <v>14</v>
      </c>
    </row>
    <row r="20" spans="1:12" x14ac:dyDescent="0.2">
      <c r="D20" s="117" t="s">
        <v>15</v>
      </c>
    </row>
    <row r="21" spans="1:12" x14ac:dyDescent="0.2">
      <c r="D21" s="117" t="s">
        <v>16</v>
      </c>
    </row>
    <row r="23" spans="1:12" x14ac:dyDescent="0.2">
      <c r="D23" s="122"/>
    </row>
    <row r="24" spans="1:12" ht="15" x14ac:dyDescent="0.2">
      <c r="C24" s="123" t="s">
        <v>17</v>
      </c>
    </row>
    <row r="25" spans="1:12" x14ac:dyDescent="0.2">
      <c r="D25" s="124" t="s">
        <v>18</v>
      </c>
      <c r="E25" s="125" t="s">
        <v>19</v>
      </c>
      <c r="F25" s="125" t="s">
        <v>20</v>
      </c>
      <c r="G25" s="125" t="s">
        <v>21</v>
      </c>
      <c r="H25" s="125" t="s">
        <v>22</v>
      </c>
      <c r="I25" s="126" t="s">
        <v>23</v>
      </c>
      <c r="J25" s="127"/>
      <c r="K25" s="127"/>
      <c r="L25" s="127" t="s">
        <v>24</v>
      </c>
    </row>
    <row r="26" spans="1:12" x14ac:dyDescent="0.2">
      <c r="C26" s="138" t="s">
        <v>25</v>
      </c>
      <c r="D26" s="128"/>
      <c r="E26" s="129"/>
      <c r="F26" s="129"/>
      <c r="G26" s="129"/>
      <c r="H26" s="129"/>
      <c r="I26" s="130"/>
      <c r="J26" s="131"/>
      <c r="K26" s="131"/>
      <c r="L26" s="131"/>
    </row>
    <row r="27" spans="1:12" ht="14.25" x14ac:dyDescent="0.2">
      <c r="A27" s="66"/>
      <c r="B27" s="115">
        <v>1</v>
      </c>
      <c r="C27" s="132" t="s">
        <v>26</v>
      </c>
      <c r="D27" s="133"/>
      <c r="E27" s="133"/>
      <c r="F27" s="133"/>
      <c r="G27" s="133"/>
      <c r="H27" s="133"/>
      <c r="I27" s="134"/>
      <c r="J27" s="134"/>
      <c r="K27" s="134"/>
      <c r="L27" s="134"/>
    </row>
    <row r="28" spans="1:12" ht="28.5" x14ac:dyDescent="0.2">
      <c r="A28" s="66"/>
      <c r="B28" s="115">
        <v>2</v>
      </c>
      <c r="C28" s="132" t="s">
        <v>27</v>
      </c>
      <c r="D28" s="133"/>
      <c r="E28" s="133"/>
      <c r="F28" s="133"/>
      <c r="G28" s="133"/>
      <c r="H28" s="133"/>
      <c r="I28" s="134"/>
      <c r="J28" s="134"/>
      <c r="K28" s="134"/>
      <c r="L28" s="134"/>
    </row>
    <row r="29" spans="1:12" ht="42.75" x14ac:dyDescent="0.2">
      <c r="A29" s="66"/>
      <c r="B29" s="115">
        <v>3</v>
      </c>
      <c r="C29" s="132" t="s">
        <v>28</v>
      </c>
      <c r="D29" s="133"/>
      <c r="E29" s="133"/>
      <c r="F29" s="133"/>
      <c r="G29" s="133"/>
      <c r="H29" s="133"/>
      <c r="I29" s="134"/>
      <c r="J29" s="134"/>
      <c r="K29" s="134"/>
      <c r="L29" s="134"/>
    </row>
    <row r="30" spans="1:12" ht="34.5" customHeight="1" x14ac:dyDescent="0.2">
      <c r="A30" s="66"/>
      <c r="B30" s="115">
        <v>4</v>
      </c>
      <c r="C30" s="139" t="s">
        <v>29</v>
      </c>
      <c r="D30" s="133"/>
      <c r="E30" s="133"/>
      <c r="F30" s="133"/>
      <c r="G30" s="133"/>
      <c r="H30" s="133"/>
      <c r="I30" s="134"/>
      <c r="J30" s="134"/>
      <c r="K30" s="134"/>
      <c r="L30" s="134"/>
    </row>
    <row r="31" spans="1:12" ht="15.75" customHeight="1" x14ac:dyDescent="0.2">
      <c r="A31" s="66"/>
      <c r="B31" s="115">
        <v>5</v>
      </c>
      <c r="C31" s="132" t="s">
        <v>30</v>
      </c>
      <c r="D31" s="133"/>
      <c r="E31" s="133"/>
      <c r="F31" s="133"/>
      <c r="G31" s="133"/>
      <c r="H31" s="133"/>
      <c r="I31" s="134"/>
      <c r="J31" s="134"/>
      <c r="K31" s="134"/>
      <c r="L31" s="134"/>
    </row>
    <row r="32" spans="1:12" ht="14.25" x14ac:dyDescent="0.2">
      <c r="A32" s="66"/>
      <c r="B32" s="115">
        <v>6</v>
      </c>
      <c r="C32" s="132" t="s">
        <v>31</v>
      </c>
      <c r="D32" s="133"/>
      <c r="E32" s="133"/>
      <c r="F32" s="133"/>
      <c r="G32" s="133"/>
      <c r="H32" s="133"/>
      <c r="I32" s="134"/>
      <c r="J32" s="134"/>
      <c r="K32" s="134"/>
      <c r="L32" s="134"/>
    </row>
    <row r="33" spans="1:12" ht="14.25" x14ac:dyDescent="0.2">
      <c r="A33" s="66"/>
      <c r="B33" s="115">
        <v>7</v>
      </c>
      <c r="C33" s="132" t="s">
        <v>32</v>
      </c>
      <c r="D33" s="133"/>
      <c r="E33" s="133"/>
      <c r="F33" s="133"/>
      <c r="G33" s="133"/>
      <c r="H33" s="133"/>
      <c r="I33" s="134"/>
      <c r="J33" s="134"/>
      <c r="K33" s="134"/>
      <c r="L33" s="134"/>
    </row>
    <row r="34" spans="1:12" ht="28.5" x14ac:dyDescent="0.2">
      <c r="A34" s="66"/>
      <c r="B34" s="115">
        <v>8</v>
      </c>
      <c r="C34" s="132" t="s">
        <v>33</v>
      </c>
      <c r="D34" s="133"/>
      <c r="E34" s="133"/>
      <c r="F34" s="133"/>
      <c r="G34" s="133"/>
      <c r="H34" s="133"/>
      <c r="I34" s="134"/>
      <c r="J34" s="134"/>
      <c r="K34" s="134"/>
      <c r="L34" s="134"/>
    </row>
    <row r="35" spans="1:12" ht="14.25" x14ac:dyDescent="0.2">
      <c r="A35" s="66"/>
      <c r="B35" s="115">
        <v>9</v>
      </c>
      <c r="C35" s="132" t="s">
        <v>34</v>
      </c>
      <c r="D35" s="133"/>
      <c r="E35" s="133"/>
      <c r="F35" s="133"/>
      <c r="G35" s="133"/>
      <c r="H35" s="133"/>
      <c r="I35" s="134"/>
      <c r="J35" s="134"/>
      <c r="K35" s="134"/>
      <c r="L35" s="134"/>
    </row>
    <row r="36" spans="1:12" ht="14.25" customHeight="1" x14ac:dyDescent="0.2">
      <c r="A36" s="66"/>
      <c r="B36" s="115">
        <v>10</v>
      </c>
      <c r="C36" s="132" t="s">
        <v>35</v>
      </c>
      <c r="D36" s="133"/>
      <c r="E36" s="133"/>
      <c r="F36" s="133"/>
      <c r="G36" s="133"/>
      <c r="H36" s="133"/>
      <c r="I36" s="134"/>
      <c r="J36" s="134"/>
      <c r="K36" s="134"/>
      <c r="L36" s="134"/>
    </row>
    <row r="37" spans="1:12" ht="28.5" x14ac:dyDescent="0.2">
      <c r="A37" s="66"/>
      <c r="B37" s="115">
        <v>11</v>
      </c>
      <c r="C37" s="132" t="s">
        <v>36</v>
      </c>
      <c r="D37" s="133"/>
      <c r="E37" s="133"/>
      <c r="F37" s="133"/>
      <c r="G37" s="133"/>
      <c r="H37" s="133"/>
      <c r="I37" s="134"/>
      <c r="J37" s="134"/>
      <c r="K37" s="134"/>
      <c r="L37" s="134"/>
    </row>
    <row r="38" spans="1:12" ht="14.25" x14ac:dyDescent="0.2">
      <c r="A38" s="66"/>
      <c r="B38" s="115">
        <v>12</v>
      </c>
      <c r="C38" s="132" t="s">
        <v>37</v>
      </c>
      <c r="D38" s="133"/>
      <c r="E38" s="133"/>
      <c r="F38" s="133"/>
      <c r="G38" s="133"/>
      <c r="H38" s="133"/>
      <c r="I38" s="134"/>
      <c r="J38" s="134"/>
      <c r="K38" s="134"/>
      <c r="L38" s="134"/>
    </row>
    <row r="39" spans="1:12" ht="14.25" x14ac:dyDescent="0.2">
      <c r="A39" s="66"/>
      <c r="B39" s="115">
        <v>13</v>
      </c>
      <c r="C39" s="132" t="s">
        <v>38</v>
      </c>
      <c r="D39" s="133"/>
      <c r="E39" s="133"/>
      <c r="F39" s="133"/>
      <c r="G39" s="133"/>
      <c r="H39" s="133"/>
      <c r="I39" s="134"/>
      <c r="J39" s="134"/>
      <c r="K39" s="134"/>
      <c r="L39" s="134"/>
    </row>
    <row r="40" spans="1:12" ht="14.25" x14ac:dyDescent="0.2">
      <c r="A40" s="66"/>
      <c r="B40" s="115">
        <v>14</v>
      </c>
      <c r="C40" s="132" t="s">
        <v>39</v>
      </c>
      <c r="D40" s="133"/>
      <c r="E40" s="133"/>
      <c r="F40" s="133"/>
      <c r="G40" s="133"/>
      <c r="H40" s="133"/>
      <c r="I40" s="134"/>
      <c r="J40" s="134"/>
      <c r="K40" s="134"/>
      <c r="L40" s="134"/>
    </row>
    <row r="41" spans="1:12" ht="14.25" x14ac:dyDescent="0.2">
      <c r="C41" s="135" t="s">
        <v>40</v>
      </c>
      <c r="D41" s="133"/>
      <c r="E41" s="133"/>
      <c r="F41" s="133"/>
      <c r="G41" s="133"/>
      <c r="H41" s="133"/>
      <c r="I41" s="134"/>
      <c r="J41" s="134"/>
      <c r="K41" s="134"/>
      <c r="L41" s="134"/>
    </row>
    <row r="42" spans="1:12" ht="14.25" x14ac:dyDescent="0.2">
      <c r="C42" s="135" t="s">
        <v>41</v>
      </c>
      <c r="D42" s="133"/>
      <c r="E42" s="133"/>
      <c r="F42" s="133"/>
      <c r="G42" s="133"/>
      <c r="H42" s="133"/>
      <c r="I42" s="134"/>
      <c r="J42" s="134"/>
      <c r="K42" s="134"/>
      <c r="L42" s="134"/>
    </row>
    <row r="43" spans="1:12" ht="14.25" x14ac:dyDescent="0.2">
      <c r="C43" s="135" t="s">
        <v>42</v>
      </c>
      <c r="D43" s="133"/>
      <c r="E43" s="133"/>
      <c r="F43" s="133"/>
      <c r="G43" s="133"/>
      <c r="H43" s="133"/>
      <c r="I43" s="134"/>
      <c r="J43" s="134"/>
      <c r="K43" s="134"/>
      <c r="L43" s="134"/>
    </row>
    <row r="44" spans="1:12" ht="14.25" x14ac:dyDescent="0.2">
      <c r="C44" s="135" t="s">
        <v>43</v>
      </c>
      <c r="D44" s="133"/>
      <c r="E44" s="133"/>
      <c r="F44" s="133"/>
      <c r="G44" s="133"/>
      <c r="H44" s="133"/>
      <c r="I44" s="134"/>
      <c r="J44" s="134"/>
      <c r="K44" s="134"/>
      <c r="L44" s="134"/>
    </row>
    <row r="45" spans="1:12" ht="14.25" x14ac:dyDescent="0.2">
      <c r="C45" s="135" t="s">
        <v>44</v>
      </c>
      <c r="D45" s="133"/>
      <c r="E45" s="133"/>
      <c r="F45" s="133"/>
      <c r="G45" s="133"/>
      <c r="H45" s="133"/>
      <c r="I45" s="134"/>
      <c r="J45" s="134"/>
      <c r="K45" s="134"/>
      <c r="L45" s="134"/>
    </row>
    <row r="46" spans="1:12" ht="14.25" x14ac:dyDescent="0.2">
      <c r="C46" s="135" t="s">
        <v>45</v>
      </c>
      <c r="D46" s="133"/>
      <c r="E46" s="133"/>
      <c r="F46" s="133"/>
      <c r="G46" s="133"/>
      <c r="H46" s="133"/>
      <c r="I46" s="134"/>
      <c r="J46" s="134"/>
      <c r="K46" s="134"/>
      <c r="L46" s="134"/>
    </row>
    <row r="47" spans="1:12" ht="14.25" x14ac:dyDescent="0.2">
      <c r="C47" s="135" t="s">
        <v>46</v>
      </c>
      <c r="D47" s="133"/>
      <c r="E47" s="133"/>
      <c r="F47" s="133"/>
      <c r="G47" s="133"/>
      <c r="H47" s="133"/>
      <c r="I47" s="134"/>
      <c r="J47" s="134"/>
      <c r="K47" s="134"/>
      <c r="L47" s="134"/>
    </row>
    <row r="48" spans="1:12" ht="14.25" x14ac:dyDescent="0.2">
      <c r="C48" s="135" t="s">
        <v>47</v>
      </c>
      <c r="D48" s="133"/>
      <c r="E48" s="133"/>
      <c r="F48" s="133"/>
      <c r="G48" s="133"/>
      <c r="H48" s="133"/>
      <c r="I48" s="134"/>
      <c r="J48" s="134"/>
      <c r="K48" s="134"/>
      <c r="L48" s="134"/>
    </row>
    <row r="49" spans="1:12" ht="14.25" x14ac:dyDescent="0.2">
      <c r="C49" s="135" t="s">
        <v>48</v>
      </c>
      <c r="D49" s="133"/>
      <c r="E49" s="133"/>
      <c r="F49" s="133"/>
      <c r="G49" s="133"/>
      <c r="H49" s="133"/>
      <c r="I49" s="134"/>
      <c r="J49" s="134"/>
      <c r="K49" s="134"/>
      <c r="L49" s="134"/>
    </row>
    <row r="50" spans="1:12" ht="14.25" x14ac:dyDescent="0.2">
      <c r="C50" s="135" t="s">
        <v>49</v>
      </c>
      <c r="D50" s="133"/>
      <c r="E50" s="133"/>
      <c r="F50" s="133"/>
      <c r="G50" s="133"/>
      <c r="H50" s="133"/>
      <c r="I50" s="134"/>
      <c r="J50" s="134"/>
      <c r="K50" s="134"/>
      <c r="L50" s="134"/>
    </row>
    <row r="51" spans="1:12" ht="14.25" x14ac:dyDescent="0.2">
      <c r="A51" s="66"/>
      <c r="B51" s="115">
        <v>15</v>
      </c>
      <c r="C51" s="132" t="s">
        <v>50</v>
      </c>
      <c r="D51" s="133"/>
      <c r="E51" s="133"/>
      <c r="F51" s="133"/>
      <c r="G51" s="133"/>
      <c r="H51" s="133"/>
      <c r="I51" s="134"/>
      <c r="J51" s="134"/>
      <c r="K51" s="134"/>
      <c r="L51" s="134"/>
    </row>
    <row r="52" spans="1:12" ht="28.5" x14ac:dyDescent="0.2">
      <c r="A52" s="66"/>
      <c r="B52" s="115">
        <v>16</v>
      </c>
      <c r="C52" s="132" t="s">
        <v>51</v>
      </c>
      <c r="D52" s="133"/>
      <c r="E52" s="133"/>
      <c r="F52" s="133"/>
      <c r="G52" s="133"/>
      <c r="H52" s="133"/>
      <c r="I52" s="134"/>
      <c r="J52" s="134"/>
      <c r="K52" s="134"/>
      <c r="L52" s="134"/>
    </row>
    <row r="53" spans="1:12" ht="28.5" x14ac:dyDescent="0.2">
      <c r="A53" s="66"/>
      <c r="B53" s="115">
        <v>17</v>
      </c>
      <c r="C53" s="132" t="s">
        <v>52</v>
      </c>
      <c r="D53" s="133"/>
      <c r="E53" s="133"/>
      <c r="F53" s="133"/>
      <c r="G53" s="133"/>
      <c r="H53" s="133"/>
      <c r="I53" s="134"/>
      <c r="J53" s="134"/>
      <c r="K53" s="134"/>
      <c r="L53" s="134"/>
    </row>
    <row r="54" spans="1:12" ht="14.25" x14ac:dyDescent="0.2">
      <c r="C54" s="132" t="s">
        <v>53</v>
      </c>
      <c r="D54" s="133"/>
      <c r="E54" s="133"/>
      <c r="F54" s="133"/>
      <c r="G54" s="133"/>
      <c r="H54" s="133"/>
      <c r="I54" s="134"/>
      <c r="J54" s="134"/>
      <c r="K54" s="134"/>
      <c r="L54" s="134"/>
    </row>
    <row r="55" spans="1:12" ht="14.25" x14ac:dyDescent="0.2">
      <c r="C55" s="132" t="s">
        <v>54</v>
      </c>
      <c r="D55" s="133"/>
      <c r="E55" s="133"/>
      <c r="F55" s="133"/>
      <c r="G55" s="133"/>
      <c r="H55" s="133"/>
      <c r="I55" s="134"/>
      <c r="J55" s="134"/>
      <c r="K55" s="134"/>
      <c r="L55" s="134"/>
    </row>
    <row r="56" spans="1:12" ht="14.25" x14ac:dyDescent="0.2">
      <c r="C56" s="132" t="s">
        <v>55</v>
      </c>
      <c r="D56" s="133"/>
      <c r="E56" s="133"/>
      <c r="F56" s="133"/>
      <c r="G56" s="133"/>
      <c r="H56" s="133"/>
      <c r="I56" s="134"/>
      <c r="J56" s="134"/>
      <c r="K56" s="134"/>
      <c r="L56" s="134"/>
    </row>
    <row r="57" spans="1:12" ht="14.25" x14ac:dyDescent="0.2">
      <c r="C57" s="132" t="s">
        <v>56</v>
      </c>
      <c r="D57" s="133"/>
      <c r="E57" s="133"/>
      <c r="F57" s="133"/>
      <c r="G57" s="133"/>
      <c r="H57" s="133"/>
      <c r="I57" s="134"/>
      <c r="J57" s="134"/>
      <c r="K57" s="134"/>
      <c r="L57" s="134"/>
    </row>
    <row r="58" spans="1:12" ht="14.25" x14ac:dyDescent="0.2">
      <c r="C58" s="132" t="s">
        <v>57</v>
      </c>
      <c r="D58" s="133"/>
      <c r="E58" s="133"/>
      <c r="F58" s="133"/>
      <c r="G58" s="133"/>
      <c r="H58" s="133"/>
      <c r="I58" s="134"/>
      <c r="J58" s="134"/>
      <c r="K58" s="134"/>
      <c r="L58" s="134"/>
    </row>
    <row r="59" spans="1:12" ht="14.25" x14ac:dyDescent="0.2">
      <c r="C59" s="132" t="s">
        <v>58</v>
      </c>
      <c r="D59" s="133"/>
      <c r="E59" s="133"/>
      <c r="F59" s="133"/>
      <c r="G59" s="133"/>
      <c r="H59" s="133"/>
      <c r="I59" s="134"/>
      <c r="J59" s="134"/>
      <c r="K59" s="134"/>
      <c r="L59" s="134"/>
    </row>
    <row r="60" spans="1:12" ht="14.25" x14ac:dyDescent="0.2">
      <c r="C60" s="132" t="s">
        <v>59</v>
      </c>
      <c r="D60" s="133"/>
      <c r="E60" s="133"/>
      <c r="F60" s="133"/>
      <c r="G60" s="133"/>
      <c r="H60" s="133"/>
      <c r="I60" s="134"/>
      <c r="J60" s="134"/>
      <c r="K60" s="134"/>
      <c r="L60" s="134"/>
    </row>
    <row r="61" spans="1:12" ht="14.25" x14ac:dyDescent="0.2">
      <c r="C61" s="136"/>
      <c r="E61" s="117"/>
      <c r="F61" s="117"/>
      <c r="G61" s="117"/>
      <c r="H61" s="117"/>
    </row>
    <row r="62" spans="1:12" ht="14.25" x14ac:dyDescent="0.2">
      <c r="C62" s="136"/>
    </row>
    <row r="63" spans="1:12" ht="14.25" x14ac:dyDescent="0.2">
      <c r="C63" s="136"/>
    </row>
    <row r="64" spans="1:12" ht="14.25" x14ac:dyDescent="0.2">
      <c r="C64" s="136"/>
    </row>
    <row r="65" spans="3:3" ht="14.25" x14ac:dyDescent="0.2">
      <c r="C65" s="136"/>
    </row>
    <row r="66" spans="3:3" ht="14.25" x14ac:dyDescent="0.2">
      <c r="C66" s="136"/>
    </row>
    <row r="67" spans="3:3" ht="14.25" x14ac:dyDescent="0.2">
      <c r="C67" s="136"/>
    </row>
    <row r="68" spans="3:3" ht="14.25" x14ac:dyDescent="0.2">
      <c r="C68" s="136"/>
    </row>
    <row r="69" spans="3:3" ht="14.25" x14ac:dyDescent="0.2">
      <c r="C69" s="136"/>
    </row>
    <row r="70" spans="3:3" ht="14.25" x14ac:dyDescent="0.2">
      <c r="C70" s="136"/>
    </row>
    <row r="71" spans="3:3" ht="14.25" x14ac:dyDescent="0.2">
      <c r="C71" s="137"/>
    </row>
    <row r="72" spans="3:3" ht="14.25" x14ac:dyDescent="0.2">
      <c r="C72" s="137"/>
    </row>
    <row r="73" spans="3:3" ht="14.25" x14ac:dyDescent="0.2">
      <c r="C73" s="137"/>
    </row>
    <row r="74" spans="3:3" ht="14.25" x14ac:dyDescent="0.2">
      <c r="C74" s="137"/>
    </row>
    <row r="75" spans="3:3" ht="14.25" x14ac:dyDescent="0.2">
      <c r="C75" s="137"/>
    </row>
    <row r="76" spans="3:3" ht="14.25" x14ac:dyDescent="0.2">
      <c r="C76" s="137"/>
    </row>
    <row r="77" spans="3:3" ht="14.25" x14ac:dyDescent="0.2">
      <c r="C77" s="137"/>
    </row>
    <row r="78" spans="3:3" ht="14.25" x14ac:dyDescent="0.2">
      <c r="C78" s="137"/>
    </row>
    <row r="79" spans="3:3" ht="14.25" x14ac:dyDescent="0.2">
      <c r="C79" s="137"/>
    </row>
    <row r="80" spans="3:3" ht="14.25" x14ac:dyDescent="0.2">
      <c r="C80" s="137"/>
    </row>
    <row r="81" spans="3:3" ht="14.25" x14ac:dyDescent="0.2">
      <c r="C81" s="137"/>
    </row>
    <row r="82" spans="3:3" ht="14.25" x14ac:dyDescent="0.2">
      <c r="C82" s="137"/>
    </row>
  </sheetData>
  <dataValidations count="3">
    <dataValidation type="list" allowBlank="1" showInputMessage="1" showErrorMessage="1" sqref="D61:E88 F61:H61" xr:uid="{00000000-0002-0000-0300-000000000000}">
      <formula1>$N$8:$N$11</formula1>
    </dataValidation>
    <dataValidation type="list" allowBlank="1" showInputMessage="1" showErrorMessage="1" prompt="N'utiliser qu'une des deux listes de choix ci-dessous selon votre cas :_x000a_1) Pour déposer une demande, cocher un des choix suivants :_x000a_- important   - modéré    - faible_x000a_2) Pour déposer la Base de référence, cocher un des choix suivants :_x000a_- présent - absent_x000a_" sqref="D27:H27" xr:uid="{41D24DF5-7A0B-45B4-A729-CA844FC3570F}">
      <formula1>$N$8:$N$13</formula1>
    </dataValidation>
    <dataValidation type="list" allowBlank="1" showInputMessage="1" showErrorMessage="1" prompt="N'utiliser qu'une des deux listes de choix ci-dessous selon votre cas :_x000a_1) Pour déposer une demande, cocher un des choix suivants :_x000a_- important  - modéré  - faible_x000a_2) Pour déposer la Base de référence, cocher un des choix suivants :_x000a_- présent   - absent_x000a_" sqref="D28:H60" xr:uid="{F24C3F48-5571-4042-972C-CD5E1C275D05}">
      <formula1>$N$8:$N$13</formula1>
    </dataValidation>
  </dataValidation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FY254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18.5703125" customWidth="1"/>
    <col min="2" max="2" width="9.42578125" customWidth="1"/>
    <col min="3" max="3" width="14" customWidth="1"/>
    <col min="14" max="14" width="13" customWidth="1"/>
    <col min="16" max="16" width="6.5703125" customWidth="1"/>
    <col min="18" max="18" width="11.140625" customWidth="1"/>
    <col min="19" max="19" width="8.42578125" customWidth="1"/>
    <col min="20" max="20" width="9" customWidth="1"/>
    <col min="22" max="22" width="29.5703125" customWidth="1"/>
    <col min="25" max="25" width="29.140625" customWidth="1"/>
    <col min="35" max="35" width="12.5703125" bestFit="1" customWidth="1"/>
    <col min="66" max="66" width="16.42578125" customWidth="1"/>
  </cols>
  <sheetData>
    <row r="1" spans="1:181" x14ac:dyDescent="0.2">
      <c r="A1" t="s">
        <v>60</v>
      </c>
      <c r="B1" t="s">
        <v>61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74</v>
      </c>
      <c r="P1" s="62" t="s">
        <v>75</v>
      </c>
      <c r="Q1" s="63" t="s">
        <v>76</v>
      </c>
      <c r="R1" s="63" t="s">
        <v>77</v>
      </c>
      <c r="S1" s="63" t="s">
        <v>78</v>
      </c>
      <c r="T1" s="63" t="s">
        <v>79</v>
      </c>
      <c r="U1" s="63" t="s">
        <v>80</v>
      </c>
      <c r="V1" s="63" t="s">
        <v>81</v>
      </c>
      <c r="W1" s="63" t="s">
        <v>82</v>
      </c>
      <c r="X1" s="63" t="s">
        <v>83</v>
      </c>
      <c r="Y1" s="63" t="s">
        <v>84</v>
      </c>
      <c r="Z1" s="63" t="s">
        <v>85</v>
      </c>
      <c r="AA1" s="63" t="s">
        <v>86</v>
      </c>
      <c r="AB1" s="63" t="s">
        <v>87</v>
      </c>
      <c r="AC1" s="63" t="s">
        <v>88</v>
      </c>
      <c r="AD1" s="63" t="s">
        <v>89</v>
      </c>
      <c r="AE1" s="63" t="s">
        <v>90</v>
      </c>
      <c r="AF1" s="63" t="s">
        <v>91</v>
      </c>
      <c r="AG1" t="s">
        <v>92</v>
      </c>
      <c r="AH1" t="s">
        <v>93</v>
      </c>
      <c r="AI1" t="s">
        <v>94</v>
      </c>
      <c r="AJ1" t="s">
        <v>95</v>
      </c>
      <c r="AK1" t="s">
        <v>96</v>
      </c>
      <c r="AL1" t="s">
        <v>97</v>
      </c>
      <c r="AM1" t="s">
        <v>98</v>
      </c>
      <c r="AN1" t="s">
        <v>99</v>
      </c>
      <c r="AO1" t="s">
        <v>100</v>
      </c>
      <c r="AP1" t="s">
        <v>101</v>
      </c>
      <c r="AQ1" s="66" t="s">
        <v>102</v>
      </c>
      <c r="AR1" s="66" t="s">
        <v>103</v>
      </c>
      <c r="AS1" t="s">
        <v>104</v>
      </c>
      <c r="AT1" t="s">
        <v>105</v>
      </c>
      <c r="AU1" t="s">
        <v>106</v>
      </c>
      <c r="AV1" t="s">
        <v>107</v>
      </c>
      <c r="AW1" s="66" t="s">
        <v>108</v>
      </c>
      <c r="AX1" t="s">
        <v>109</v>
      </c>
      <c r="AY1" t="s">
        <v>110</v>
      </c>
      <c r="AZ1" t="s">
        <v>111</v>
      </c>
      <c r="BA1" t="s">
        <v>112</v>
      </c>
      <c r="BB1" t="s">
        <v>113</v>
      </c>
      <c r="BC1" t="s">
        <v>114</v>
      </c>
      <c r="BD1" t="s">
        <v>115</v>
      </c>
      <c r="BE1" t="s">
        <v>116</v>
      </c>
      <c r="BF1" t="s">
        <v>117</v>
      </c>
      <c r="BG1" t="s">
        <v>118</v>
      </c>
      <c r="BH1" s="66" t="s">
        <v>119</v>
      </c>
      <c r="BI1" s="66" t="s">
        <v>120</v>
      </c>
      <c r="BJ1" t="s">
        <v>121</v>
      </c>
      <c r="BK1" s="66" t="s">
        <v>122</v>
      </c>
      <c r="BL1" s="66" t="s">
        <v>123</v>
      </c>
      <c r="BM1" s="66" t="s">
        <v>124</v>
      </c>
      <c r="BN1" s="66" t="s">
        <v>125</v>
      </c>
      <c r="BO1" s="66" t="s">
        <v>126</v>
      </c>
      <c r="BP1" t="s">
        <v>127</v>
      </c>
      <c r="BQ1" t="s">
        <v>128</v>
      </c>
      <c r="BR1" s="66" t="s">
        <v>129</v>
      </c>
      <c r="BS1" s="66" t="s">
        <v>130</v>
      </c>
      <c r="BT1" s="66" t="s">
        <v>131</v>
      </c>
      <c r="BU1" t="s">
        <v>132</v>
      </c>
      <c r="BV1" t="s">
        <v>133</v>
      </c>
      <c r="BW1" t="s">
        <v>134</v>
      </c>
      <c r="BX1" t="s">
        <v>135</v>
      </c>
      <c r="BY1" t="s">
        <v>136</v>
      </c>
      <c r="BZ1" t="s">
        <v>137</v>
      </c>
      <c r="CA1" t="s">
        <v>138</v>
      </c>
      <c r="CB1" t="s">
        <v>139</v>
      </c>
      <c r="CC1" t="s">
        <v>140</v>
      </c>
      <c r="CD1" t="s">
        <v>141</v>
      </c>
      <c r="CE1" t="s">
        <v>142</v>
      </c>
      <c r="CF1" t="s">
        <v>143</v>
      </c>
      <c r="CG1" t="s">
        <v>144</v>
      </c>
      <c r="CH1" t="s">
        <v>145</v>
      </c>
      <c r="CI1" t="s">
        <v>146</v>
      </c>
      <c r="CJ1" t="s">
        <v>147</v>
      </c>
      <c r="CK1" t="s">
        <v>148</v>
      </c>
      <c r="CL1" t="s">
        <v>149</v>
      </c>
      <c r="CM1" t="s">
        <v>150</v>
      </c>
      <c r="CN1" t="s">
        <v>151</v>
      </c>
      <c r="CO1" t="s">
        <v>152</v>
      </c>
      <c r="CP1" t="s">
        <v>153</v>
      </c>
      <c r="CQ1" t="s">
        <v>154</v>
      </c>
      <c r="CR1" t="s">
        <v>155</v>
      </c>
      <c r="CS1" t="s">
        <v>156</v>
      </c>
      <c r="CT1" t="s">
        <v>157</v>
      </c>
      <c r="CU1" t="s">
        <v>158</v>
      </c>
      <c r="CV1" t="s">
        <v>159</v>
      </c>
      <c r="CW1" t="s">
        <v>160</v>
      </c>
      <c r="CX1" t="s">
        <v>161</v>
      </c>
      <c r="CY1" t="s">
        <v>162</v>
      </c>
      <c r="CZ1" t="s">
        <v>163</v>
      </c>
      <c r="DA1" t="s">
        <v>164</v>
      </c>
      <c r="DB1" t="s">
        <v>165</v>
      </c>
      <c r="DC1" t="s">
        <v>166</v>
      </c>
      <c r="DD1" t="s">
        <v>167</v>
      </c>
      <c r="DE1" t="s">
        <v>168</v>
      </c>
      <c r="DF1" t="s">
        <v>169</v>
      </c>
      <c r="DG1" t="s">
        <v>170</v>
      </c>
      <c r="DH1" t="s">
        <v>171</v>
      </c>
      <c r="DI1" t="s">
        <v>172</v>
      </c>
      <c r="DJ1" t="s">
        <v>173</v>
      </c>
      <c r="DK1" t="s">
        <v>174</v>
      </c>
      <c r="DL1" t="s">
        <v>175</v>
      </c>
      <c r="DM1" t="s">
        <v>176</v>
      </c>
      <c r="DN1" t="s">
        <v>177</v>
      </c>
      <c r="DO1" t="s">
        <v>178</v>
      </c>
      <c r="DP1" t="s">
        <v>179</v>
      </c>
      <c r="DQ1" t="s">
        <v>180</v>
      </c>
      <c r="DR1" t="s">
        <v>181</v>
      </c>
      <c r="DS1" t="s">
        <v>182</v>
      </c>
      <c r="DT1" t="s">
        <v>183</v>
      </c>
      <c r="DU1" t="s">
        <v>184</v>
      </c>
      <c r="DV1" t="s">
        <v>185</v>
      </c>
      <c r="DW1" t="s">
        <v>186</v>
      </c>
      <c r="DX1" t="s">
        <v>187</v>
      </c>
      <c r="DY1" t="s">
        <v>188</v>
      </c>
      <c r="DZ1" t="s">
        <v>189</v>
      </c>
      <c r="EA1" t="s">
        <v>190</v>
      </c>
      <c r="EB1" t="s">
        <v>191</v>
      </c>
      <c r="EC1" t="s">
        <v>192</v>
      </c>
      <c r="ED1" t="s">
        <v>193</v>
      </c>
      <c r="EE1" t="s">
        <v>194</v>
      </c>
      <c r="EF1" t="s">
        <v>195</v>
      </c>
      <c r="EG1" t="s">
        <v>196</v>
      </c>
      <c r="EH1" t="s">
        <v>197</v>
      </c>
      <c r="EI1" s="104" t="s">
        <v>198</v>
      </c>
      <c r="EJ1" t="s">
        <v>199</v>
      </c>
      <c r="EK1" t="s">
        <v>200</v>
      </c>
      <c r="EL1" t="s">
        <v>201</v>
      </c>
      <c r="EM1" t="s">
        <v>202</v>
      </c>
      <c r="EN1" t="s">
        <v>203</v>
      </c>
      <c r="EO1" t="s">
        <v>204</v>
      </c>
      <c r="EP1" t="s">
        <v>205</v>
      </c>
      <c r="EQ1" t="s">
        <v>206</v>
      </c>
      <c r="ER1" t="s">
        <v>207</v>
      </c>
      <c r="ES1" t="s">
        <v>208</v>
      </c>
      <c r="ET1" t="s">
        <v>209</v>
      </c>
      <c r="EU1" t="s">
        <v>210</v>
      </c>
      <c r="EV1" t="s">
        <v>211</v>
      </c>
      <c r="EW1" t="s">
        <v>212</v>
      </c>
      <c r="EX1" t="s">
        <v>213</v>
      </c>
      <c r="EY1" t="s">
        <v>214</v>
      </c>
      <c r="EZ1" t="s">
        <v>215</v>
      </c>
      <c r="FA1" t="s">
        <v>216</v>
      </c>
      <c r="FB1" t="s">
        <v>217</v>
      </c>
      <c r="FC1" t="s">
        <v>218</v>
      </c>
      <c r="FD1" t="s">
        <v>219</v>
      </c>
      <c r="FE1" t="s">
        <v>220</v>
      </c>
      <c r="FF1" t="s">
        <v>221</v>
      </c>
      <c r="FG1" t="s">
        <v>222</v>
      </c>
      <c r="FH1" t="s">
        <v>223</v>
      </c>
      <c r="FI1" t="s">
        <v>224</v>
      </c>
      <c r="FJ1" t="s">
        <v>225</v>
      </c>
      <c r="FK1" t="s">
        <v>226</v>
      </c>
      <c r="FL1" t="s">
        <v>227</v>
      </c>
      <c r="FM1" t="s">
        <v>228</v>
      </c>
      <c r="FN1" t="s">
        <v>229</v>
      </c>
      <c r="FO1" t="s">
        <v>230</v>
      </c>
      <c r="FP1" s="66" t="s">
        <v>231</v>
      </c>
      <c r="FQ1" t="s">
        <v>232</v>
      </c>
      <c r="FR1" t="s">
        <v>233</v>
      </c>
      <c r="FS1" t="s">
        <v>234</v>
      </c>
      <c r="FT1" t="s">
        <v>235</v>
      </c>
      <c r="FU1" t="s">
        <v>236</v>
      </c>
      <c r="FV1" t="s">
        <v>237</v>
      </c>
      <c r="FW1" t="s">
        <v>238</v>
      </c>
      <c r="FX1" t="s">
        <v>239</v>
      </c>
      <c r="FY1" t="s">
        <v>240</v>
      </c>
    </row>
    <row r="2" spans="1:181" x14ac:dyDescent="0.2">
      <c r="A2" s="111" t="s">
        <v>241</v>
      </c>
      <c r="B2" s="8" t="str">
        <f>IF(A56=TRUE,"1","")</f>
        <v/>
      </c>
      <c r="C2" s="8" t="str">
        <f>IF(B56=TRUE,"2","")</f>
        <v/>
      </c>
      <c r="D2" s="8" t="str">
        <f>IF(C56=TRUE,"3","")</f>
        <v>3</v>
      </c>
      <c r="E2" s="8" t="str">
        <f>IF(D56=TRUE,"4","")</f>
        <v/>
      </c>
      <c r="F2" s="8" t="str">
        <f>IF(E56=TRUE,"5","")</f>
        <v/>
      </c>
      <c r="G2" s="8" t="str">
        <f>IF(F56=TRUE,"6","")</f>
        <v/>
      </c>
      <c r="H2" s="8" t="str">
        <f>IF(G56=TRUE,"7","")</f>
        <v/>
      </c>
      <c r="I2" s="8" t="b">
        <f>A56</f>
        <v>0</v>
      </c>
      <c r="J2" s="8" t="b">
        <f t="shared" ref="J2:O2" si="0">B56</f>
        <v>0</v>
      </c>
      <c r="K2" s="8" t="b">
        <f t="shared" si="0"/>
        <v>1</v>
      </c>
      <c r="L2" s="8" t="b">
        <f t="shared" si="0"/>
        <v>0</v>
      </c>
      <c r="M2" s="8" t="b">
        <f t="shared" si="0"/>
        <v>0</v>
      </c>
      <c r="N2" s="8" t="b">
        <f t="shared" si="0"/>
        <v>0</v>
      </c>
      <c r="O2" s="8" t="b">
        <f t="shared" si="0"/>
        <v>0</v>
      </c>
      <c r="P2" s="74" t="b">
        <f>B57</f>
        <v>0</v>
      </c>
      <c r="Q2" s="75" t="b">
        <f>B58</f>
        <v>0</v>
      </c>
      <c r="R2" s="75" t="b">
        <f>B60</f>
        <v>0</v>
      </c>
      <c r="S2" s="75" t="b">
        <f>B59</f>
        <v>0</v>
      </c>
      <c r="T2" s="75" t="b">
        <f>D57</f>
        <v>0</v>
      </c>
      <c r="U2" s="75" t="b">
        <f>D60</f>
        <v>0</v>
      </c>
      <c r="V2" s="75" t="b">
        <f>D58</f>
        <v>0</v>
      </c>
      <c r="W2" s="75" t="b">
        <f>D59</f>
        <v>0</v>
      </c>
      <c r="X2" s="75" t="b">
        <f>E57</f>
        <v>0</v>
      </c>
      <c r="Y2" s="75" t="b">
        <f>E58</f>
        <v>0</v>
      </c>
      <c r="Z2" s="75" t="b">
        <f>F57</f>
        <v>0</v>
      </c>
      <c r="AA2" s="75" t="b">
        <f>F58</f>
        <v>0</v>
      </c>
      <c r="AB2" s="75" t="b">
        <f>F59</f>
        <v>0</v>
      </c>
      <c r="AC2" s="75" t="b">
        <f>G57</f>
        <v>0</v>
      </c>
      <c r="AD2" s="75" t="b">
        <f>G58</f>
        <v>0</v>
      </c>
      <c r="AE2" s="75" t="b">
        <f>G59</f>
        <v>0</v>
      </c>
      <c r="AF2" s="75">
        <v>10</v>
      </c>
      <c r="AG2" s="8" t="e">
        <f>IF(#REF!="","",#REF!)</f>
        <v>#REF!</v>
      </c>
      <c r="AH2" s="8" t="e">
        <f>IF(#REF!="","",#REF!)</f>
        <v>#REF!</v>
      </c>
      <c r="AI2" s="8" t="e">
        <f>IF(#REF!="","",#REF!)</f>
        <v>#REF!</v>
      </c>
      <c r="AJ2" s="8" t="e">
        <f>IF(#REF!="","",#REF!)</f>
        <v>#REF!</v>
      </c>
      <c r="AK2" s="8" t="e">
        <f>IF(#REF!="","",#REF!)</f>
        <v>#REF!</v>
      </c>
      <c r="AL2" s="8" t="e">
        <f>IF(#REF!="","",#REF!)</f>
        <v>#REF!</v>
      </c>
      <c r="AM2" s="8" t="e">
        <f>IF(#REF!="","",#REF!)</f>
        <v>#REF!</v>
      </c>
      <c r="AN2" s="8" t="b">
        <v>0</v>
      </c>
      <c r="AO2" s="8">
        <v>1</v>
      </c>
      <c r="AP2" s="8" t="e">
        <f ca="1">INDEX(OFFSET(Appel,,-1,,),MATCH(#REF!,Appel,0))</f>
        <v>#REF!</v>
      </c>
      <c r="AQ2" s="8" t="e">
        <f>IF(#REF!="","",#REF!)</f>
        <v>#REF!</v>
      </c>
      <c r="AR2" s="8" t="e">
        <f>IF(#REF!="","",#REF!)</f>
        <v>#REF!</v>
      </c>
      <c r="AS2" s="8" t="e">
        <f>IF(#REF!="","",#REF!)</f>
        <v>#REF!</v>
      </c>
      <c r="AT2" s="8" t="e">
        <f>IF(#REF!="","",#REF!)</f>
        <v>#REF!</v>
      </c>
      <c r="AU2" s="8" t="e">
        <f>IF(#REF!="","",#REF!)</f>
        <v>#REF!</v>
      </c>
      <c r="AV2" s="8" t="e">
        <f>IF(#REF!="","",#REF!)</f>
        <v>#REF!</v>
      </c>
      <c r="AW2" s="8" t="e">
        <f>IF(#REF!="","",#REF!)</f>
        <v>#REF!</v>
      </c>
      <c r="AX2" s="8" t="e">
        <f>IF(#REF!="","",#REF!)</f>
        <v>#REF!</v>
      </c>
      <c r="AY2" s="8" t="e">
        <f>IF(#REF!="","",#REF!)</f>
        <v>#REF!</v>
      </c>
      <c r="AZ2" s="8" t="e">
        <f>IF(#REF!="","",#REF!)</f>
        <v>#REF!</v>
      </c>
      <c r="BA2" s="8" t="e">
        <f>IF(#REF!="","",#REF!)</f>
        <v>#REF!</v>
      </c>
      <c r="BB2" s="8" t="e">
        <f>IF(#REF!="","",#REF!)</f>
        <v>#REF!</v>
      </c>
      <c r="BC2" s="8" t="e">
        <f>IF(#REF!="","",#REF!)</f>
        <v>#REF!</v>
      </c>
      <c r="BD2" s="8" t="b">
        <v>0</v>
      </c>
      <c r="BE2" s="8" t="b">
        <v>0</v>
      </c>
      <c r="BF2" s="8">
        <v>2</v>
      </c>
      <c r="BG2" s="8" t="e">
        <f ca="1">INDEX(OFFSET(Appel,,-1,,),MATCH(#REF!,Appel,0))</f>
        <v>#REF!</v>
      </c>
      <c r="BH2" s="8" t="e">
        <f>IF(#REF!="","",#REF!)</f>
        <v>#REF!</v>
      </c>
      <c r="BI2" s="8" t="e">
        <f>IF(#REF!="","",#REF!)</f>
        <v>#REF!</v>
      </c>
      <c r="BJ2" s="8" t="e">
        <f>IF(#REF!="","",#REF!)</f>
        <v>#REF!</v>
      </c>
      <c r="BK2" s="8" t="e">
        <f>IF(#REF!="","",#REF!)</f>
        <v>#REF!</v>
      </c>
      <c r="BL2" s="8" t="e">
        <f>IF(#REF!="","",#REF!)</f>
        <v>#REF!</v>
      </c>
      <c r="BM2" s="8" t="e">
        <f>IF(#REF!="","",#REF!)</f>
        <v>#REF!</v>
      </c>
      <c r="BN2" s="8" t="e">
        <f>IF(#REF!="","",#REF!)</f>
        <v>#REF!</v>
      </c>
      <c r="BO2" s="8" t="e">
        <f>IF(#REF!="","",#REF!)</f>
        <v>#REF!</v>
      </c>
      <c r="BP2" s="8" t="e">
        <f>IF(#REF!="","",#REF!)</f>
        <v>#REF!</v>
      </c>
      <c r="BQ2" s="8" t="e">
        <f>IF(#REF!="","",#REF!)</f>
        <v>#REF!</v>
      </c>
      <c r="BR2" s="8" t="e">
        <f>IF(#REF!="","",#REF!)</f>
        <v>#REF!</v>
      </c>
      <c r="BS2" s="8" t="e">
        <f>IF(#REF!="","",#REF!)</f>
        <v>#REF!</v>
      </c>
      <c r="BT2" s="8" t="e">
        <f>IF(#REF!="","",#REF!)</f>
        <v>#REF!</v>
      </c>
      <c r="BU2" s="8" t="b">
        <v>0</v>
      </c>
      <c r="BV2" s="8" t="b">
        <v>1</v>
      </c>
      <c r="BW2" s="8">
        <v>3</v>
      </c>
      <c r="BX2" s="8" t="e">
        <f ca="1">INDEX(OFFSET(Appel,,-1,,),MATCH(#REF!,Appel,0))</f>
        <v>#REF!</v>
      </c>
      <c r="BY2" s="8" t="e">
        <f>IF(#REF!="","",#REF!)</f>
        <v>#REF!</v>
      </c>
      <c r="BZ2" s="8" t="e">
        <f>IF(#REF!="","",#REF!)</f>
        <v>#REF!</v>
      </c>
      <c r="CA2" s="8" t="e">
        <f>IF(#REF!="","",#REF!)</f>
        <v>#REF!</v>
      </c>
      <c r="CB2" s="8" t="e">
        <f>IF(#REF!="","",#REF!)</f>
        <v>#REF!</v>
      </c>
      <c r="CC2" s="8" t="e">
        <f>IF(#REF!="","",#REF!)</f>
        <v>#REF!</v>
      </c>
      <c r="CD2" s="8" t="e">
        <f>IF(#REF!="","",#REF!)</f>
        <v>#REF!</v>
      </c>
      <c r="CE2" s="8" t="e">
        <f>IF(#REF!="","",#REF!)</f>
        <v>#REF!</v>
      </c>
      <c r="CF2" s="8" t="e">
        <f>IF(#REF!="","",#REF!)</f>
        <v>#REF!</v>
      </c>
      <c r="CG2" s="8" t="e">
        <f>IF(#REF!="","",#REF!)</f>
        <v>#REF!</v>
      </c>
      <c r="CH2" s="8" t="e">
        <f>IF(#REF!="","",#REF!)</f>
        <v>#REF!</v>
      </c>
      <c r="CI2" s="8" t="e">
        <f>IF(#REF!="","",#REF!)</f>
        <v>#REF!</v>
      </c>
      <c r="CJ2" s="8" t="e">
        <f>IF(#REF!="","",#REF!)</f>
        <v>#REF!</v>
      </c>
      <c r="CK2" s="8" t="e">
        <f>IF(#REF!="","",#REF!)</f>
        <v>#REF!</v>
      </c>
      <c r="CL2" s="8" t="e">
        <f>IF(#REF!="","",#REF!)</f>
        <v>#REF!</v>
      </c>
      <c r="CM2" s="8" t="e">
        <f>IF(#REF!="","",#REF!)</f>
        <v>#REF!</v>
      </c>
      <c r="CN2" s="8" t="b">
        <v>0</v>
      </c>
      <c r="CO2" s="8" t="b">
        <v>0</v>
      </c>
      <c r="CP2" s="8">
        <v>4</v>
      </c>
      <c r="CQ2" s="8" t="e">
        <f ca="1">INDEX(OFFSET(Appel,,-1,,),MATCH(#REF!,Appel,0))</f>
        <v>#REF!</v>
      </c>
      <c r="CR2" s="8" t="e">
        <f>IF(#REF!="","",#REF!)</f>
        <v>#REF!</v>
      </c>
      <c r="CS2" s="8" t="e">
        <f>IF(#REF!="","",#REF!)</f>
        <v>#REF!</v>
      </c>
      <c r="CT2" s="8" t="e">
        <f>IF(#REF!="","",#REF!)</f>
        <v>#REF!</v>
      </c>
      <c r="CU2" s="8" t="e">
        <f>IF(#REF!="","",#REF!)</f>
        <v>#REF!</v>
      </c>
      <c r="CV2" s="8" t="e">
        <f>IF(#REF!="","",#REF!)</f>
        <v>#REF!</v>
      </c>
      <c r="CW2" s="8" t="e">
        <f>IF(#REF!="","",#REF!)</f>
        <v>#REF!</v>
      </c>
      <c r="CX2" s="8" t="e">
        <f>IF(#REF!="","",#REF!)</f>
        <v>#REF!</v>
      </c>
      <c r="CY2" s="8" t="e">
        <f>IF(#REF!="","",#REF!)</f>
        <v>#REF!</v>
      </c>
      <c r="CZ2" s="8" t="e">
        <f>IF(#REF!="","",#REF!)</f>
        <v>#REF!</v>
      </c>
      <c r="DA2" s="8" t="e">
        <f>IF(#REF!="","",#REF!)</f>
        <v>#REF!</v>
      </c>
      <c r="DB2" s="8" t="e">
        <f>IF(#REF!="","",#REF!)</f>
        <v>#REF!</v>
      </c>
      <c r="DC2" s="8" t="e">
        <f>IF(#REF!="","",#REF!)</f>
        <v>#REF!</v>
      </c>
      <c r="DD2" s="8" t="e">
        <f>IF(#REF!="","",#REF!)</f>
        <v>#REF!</v>
      </c>
      <c r="DE2" s="8" t="e">
        <f>IF(#REF!="","",#REF!)</f>
        <v>#REF!</v>
      </c>
      <c r="DF2" s="8" t="e">
        <f>IF(#REF!="","",#REF!)</f>
        <v>#REF!</v>
      </c>
      <c r="DG2" s="8" t="b">
        <v>1</v>
      </c>
      <c r="DH2" s="8" t="b">
        <v>0</v>
      </c>
      <c r="DI2" s="8" t="e">
        <f>IF(F57=TRUE,IF(#REF!="","",#REF!),IF(#REF!="","",#REF!))</f>
        <v>#REF!</v>
      </c>
      <c r="DJ2" s="8" t="e">
        <f>IF(F57=TRUE,IF(#REF!="","",#REF!),IF(#REF!="","",#REF!))</f>
        <v>#REF!</v>
      </c>
      <c r="DK2" s="8" t="e">
        <f>IF(F57=TRUE,IF(#REF!="","",#REF!),IF(#REF!="","",#REF!))</f>
        <v>#REF!</v>
      </c>
      <c r="DL2" s="8" t="e">
        <f>IF(F57=TRUE,IF(#REF!="","",#REF!),IF(#REF!="","",#REF!))</f>
        <v>#REF!</v>
      </c>
      <c r="DM2" s="8" t="e">
        <f>IF(F57=TRUE,IF(#REF!="","",#REF!),IF(#REF!="","",#REF!))</f>
        <v>#REF!</v>
      </c>
      <c r="DN2" s="8" t="e">
        <f>IF(F57=TRUE,484,IF(#REF!="","",#REF!))</f>
        <v>#REF!</v>
      </c>
      <c r="DO2" s="8" t="e">
        <f ca="1">IF(F57=TRUE,10,INDEX(OFFSET(Type_EntrepriseData2,,-1,,),MATCH(#REF!,Type_EntrepriseData2,0)))</f>
        <v>#REF!</v>
      </c>
      <c r="DP2" s="8" t="e">
        <f ca="1">INDEX(OFFSET(Type_EntrepriseData2,,1,,),MATCH(#REF!,Type_EntrepriseData2,0))</f>
        <v>#REF!</v>
      </c>
      <c r="DQ2" s="8" t="e">
        <f ca="1">IF(B61=TRUE,"1154020",DQ3)</f>
        <v>#REF!</v>
      </c>
      <c r="DR2" s="8" t="str">
        <f>IF(A56=TRUE,"Innovation technologique",IF(OR(B56=TRUE,E56=TRUE,F56=TRUE),"Analyse","Implantation"))</f>
        <v>Implantation</v>
      </c>
      <c r="DS2" s="8" t="str">
        <f>IF(FX2="8","8",IF(B2="1","1",IF(C2="2","2",IF(F2="5","5",IF(G2="6","6",IF(H2="7","7",IF(D2="3","3",IF(E2="4","4",""))))))))</f>
        <v>3</v>
      </c>
      <c r="DT2" s="8"/>
      <c r="DU2" s="76" t="e">
        <f>#REF!</f>
        <v>#REF!</v>
      </c>
      <c r="DV2" s="8" t="b">
        <v>0</v>
      </c>
      <c r="DW2" s="8" t="e">
        <f>IF(DU2&gt;36000,"(+ de 36TJ)","(- de 36TJ)")</f>
        <v>#REF!</v>
      </c>
      <c r="DX2" s="8">
        <v>2</v>
      </c>
      <c r="DY2" s="8" t="e">
        <f>IF(#REF!="","",#REF!)</f>
        <v>#REF!</v>
      </c>
      <c r="DZ2" s="8" t="e">
        <f ca="1">IF(#REF!="","",#REF!*INDEX(OFFSET(Unite_Surface,,1,,),MATCH(#REF!,Unite_Surface,0)))</f>
        <v>#REF!</v>
      </c>
      <c r="EA2" s="8" t="e">
        <f ca="1">INDEX(OFFSET(Unite_Surface,,-1,,),MATCH(#REF!,Unite_Surface,0))</f>
        <v>#REF!</v>
      </c>
      <c r="EB2" s="8" t="e">
        <f>IF(#REF!="","",#REF!)</f>
        <v>#REF!</v>
      </c>
      <c r="EC2" s="8" t="e">
        <f>IF(#REF!="","",#REF!)</f>
        <v>#REF!</v>
      </c>
      <c r="ED2" s="8" t="e">
        <f>IF(#REF!="","",#REF!)</f>
        <v>#REF!</v>
      </c>
      <c r="EE2" s="8" t="e">
        <f>IF(#REF!="","",#REF!)</f>
        <v>#REF!</v>
      </c>
      <c r="EF2" s="8" t="e">
        <f>IF(#REF!="","",#REF!)</f>
        <v>#REF!</v>
      </c>
      <c r="EG2" s="77" t="e">
        <f>IF(#REF!="","",#REF!)</f>
        <v>#REF!</v>
      </c>
      <c r="EH2" s="77" t="e">
        <f>IF(#REF!="","",#REF!)</f>
        <v>#REF!</v>
      </c>
      <c r="EI2" s="77" t="e">
        <f>IF(#REF!="","",#REF!)</f>
        <v>#REF!</v>
      </c>
      <c r="EJ2" s="77" t="b">
        <f>IF(A56=TRUE,TRUE,FALSE)</f>
        <v>0</v>
      </c>
      <c r="EK2" s="78" t="e">
        <f>IF(#REF!=0,0,#REF!)</f>
        <v>#REF!</v>
      </c>
      <c r="EL2" t="str">
        <f>IF(EL3=TRUE,"Résidentiel","")</f>
        <v/>
      </c>
      <c r="EM2" t="str">
        <f>IF(EM3=TRUE,"Commercial","")</f>
        <v/>
      </c>
      <c r="EN2" t="str">
        <f>IF(EN3=TRUE,"Institutionnel","")</f>
        <v/>
      </c>
      <c r="EO2" t="str">
        <f>IF(EO3=TRUE,"Municipal","")</f>
        <v/>
      </c>
      <c r="EP2" t="str">
        <f>IF(EP3=TRUE,"Transport","")</f>
        <v/>
      </c>
      <c r="EQ2" t="str">
        <f>IF(EQ3=TRUE,"Industriel","")</f>
        <v/>
      </c>
      <c r="ER2" t="str">
        <f>IF(ER3=TRUE,"Agricole","")</f>
        <v/>
      </c>
      <c r="ES2" t="str">
        <f>IF(ES3=TRUE,ET2,"")</f>
        <v/>
      </c>
      <c r="ET2" s="8" t="e">
        <f>IF(#REF!="","",#REF!)</f>
        <v>#REF!</v>
      </c>
      <c r="EU2" s="8" t="b">
        <v>0</v>
      </c>
      <c r="EV2" s="8" t="str">
        <f>IF(EV3=TRUE,"Bioénergie","")</f>
        <v/>
      </c>
      <c r="EW2" s="8" t="str">
        <f>IF(EW3=TRUE,"Éolienne","")</f>
        <v/>
      </c>
      <c r="EX2" s="8" t="str">
        <f>IF(EX3=TRUE,"Géothermie","")</f>
        <v/>
      </c>
      <c r="EY2" s="8" t="str">
        <f>IF(EY3=TRUE,"Hydrolienne","")</f>
        <v/>
      </c>
      <c r="EZ2" s="8" t="str">
        <f>IF(EZ3=TRUE,"Hydrogène","")</f>
        <v/>
      </c>
      <c r="FA2" s="8" t="str">
        <f>IF(FA3=TRUE,"Marémotrice","")</f>
        <v/>
      </c>
      <c r="FB2" s="8" t="str">
        <f>IF(FB3=TRUE,"Solaire","")</f>
        <v/>
      </c>
      <c r="FC2" s="8" t="str">
        <f>IF(FC3=TRUE,FD2,"")</f>
        <v/>
      </c>
      <c r="FD2" s="8" t="e">
        <f>IF(#REF!="","",#REF!)</f>
        <v>#REF!</v>
      </c>
      <c r="FE2" s="8" t="b">
        <v>0</v>
      </c>
      <c r="FF2" s="8" t="str">
        <f>IF(FE3=TRUE,1,"")</f>
        <v/>
      </c>
      <c r="FG2" s="8" t="str">
        <f>IF(FF3=TRUE,3,"")</f>
        <v/>
      </c>
      <c r="FH2" s="8" t="str">
        <f>IF(FG3=TRUE,4,"")</f>
        <v/>
      </c>
      <c r="FI2" s="8" t="str">
        <f>IF(FH3=TRUE,2,"")</f>
        <v/>
      </c>
      <c r="FJ2" s="8" t="str">
        <f>IF(FI3=TRUE,5,"")</f>
        <v/>
      </c>
      <c r="FK2" s="8" t="str">
        <f>IF(FJ3=TRUE,7,"")</f>
        <v/>
      </c>
      <c r="FL2" s="8" t="str">
        <f>IF(FK3=TRUE,6,"")</f>
        <v/>
      </c>
      <c r="FM2" s="8" t="str">
        <f ca="1">IF(FL3=TRUE,IF(#REF!="","",INDEX(OFFSET(Énergie,,-1,,),MATCH(#REF!,Énergie,0))),"")</f>
        <v/>
      </c>
      <c r="FN2" s="80" t="e">
        <f ca="1">IF(#REF!="","",INDEX(OFFSET(Énergie,,-1,,),MATCH(#REF!,Énergie,0)))</f>
        <v>#REF!</v>
      </c>
      <c r="FO2" s="81" t="e">
        <f>#REF!</f>
        <v>#REF!</v>
      </c>
      <c r="FP2" s="77" t="e">
        <f>IF(#REF!="","",#REF!)</f>
        <v>#REF!</v>
      </c>
      <c r="FQ2" s="26" t="e">
        <f>B70</f>
        <v>#REF!</v>
      </c>
      <c r="FR2" s="26" t="e">
        <f>C70</f>
        <v>#REF!</v>
      </c>
      <c r="FS2" s="26" t="e">
        <f>FQ2+FR2</f>
        <v>#REF!</v>
      </c>
      <c r="FT2" s="26" t="e">
        <f>D70</f>
        <v>#REF!</v>
      </c>
      <c r="FU2" s="26" t="e">
        <f>E70</f>
        <v>#REF!</v>
      </c>
      <c r="FV2" s="26" t="e">
        <f>FU2+FT2</f>
        <v>#REF!</v>
      </c>
      <c r="FW2" s="8">
        <v>1</v>
      </c>
      <c r="FX2" t="str">
        <f>IF(B61=TRUE,"8","")</f>
        <v/>
      </c>
      <c r="FY2" t="b">
        <f>B61</f>
        <v>0</v>
      </c>
    </row>
    <row r="3" spans="1:181" x14ac:dyDescent="0.2">
      <c r="DQ3" s="8" t="e">
        <f ca="1">IF($A$56=TRUE,"1159400",IF($E$56=TRUE,"1151000",IF($G$57=TRUE,"1151210",IF($F$57=TRUE,"1157170",IF($D$57=TRUE,"1151240",IF($D$60=TRUE,"1151202",INDEX(OFFSET(Type_EntrepriseData2,,2,,),MATCH(#REF!,Type_EntrepriseData2,0))))))))</f>
        <v>#REF!</v>
      </c>
      <c r="EJ3" s="8" t="b">
        <v>0</v>
      </c>
      <c r="EL3" s="8" t="b">
        <v>0</v>
      </c>
      <c r="EM3" s="8" t="b">
        <v>0</v>
      </c>
      <c r="EN3" s="8" t="b">
        <v>0</v>
      </c>
      <c r="EO3" s="8" t="b">
        <v>0</v>
      </c>
      <c r="EP3" s="8" t="b">
        <v>0</v>
      </c>
      <c r="EQ3" s="8" t="b">
        <v>0</v>
      </c>
      <c r="ER3" s="8" t="b">
        <v>0</v>
      </c>
      <c r="ES3" s="79" t="b">
        <v>0</v>
      </c>
      <c r="ET3" s="8"/>
      <c r="EV3" s="8" t="b">
        <v>0</v>
      </c>
      <c r="EW3" s="8" t="b">
        <v>0</v>
      </c>
      <c r="EX3" s="8" t="b">
        <v>0</v>
      </c>
      <c r="EY3" s="8" t="b">
        <v>0</v>
      </c>
      <c r="EZ3" s="8" t="b">
        <v>0</v>
      </c>
      <c r="FA3" s="8" t="b">
        <v>0</v>
      </c>
      <c r="FB3" s="8" t="b">
        <v>0</v>
      </c>
      <c r="FC3" s="8" t="b">
        <v>0</v>
      </c>
      <c r="FE3" s="8" t="b">
        <v>0</v>
      </c>
      <c r="FF3" s="8" t="b">
        <v>0</v>
      </c>
      <c r="FG3" s="8" t="b">
        <v>0</v>
      </c>
      <c r="FH3" s="8" t="b">
        <v>0</v>
      </c>
      <c r="FI3" s="8" t="b">
        <v>0</v>
      </c>
      <c r="FJ3" s="8" t="b">
        <v>0</v>
      </c>
      <c r="FK3" s="8" t="b">
        <v>0</v>
      </c>
      <c r="FL3" s="8"/>
      <c r="FM3" s="8" t="b">
        <v>0</v>
      </c>
    </row>
    <row r="4" spans="1:181" x14ac:dyDescent="0.2">
      <c r="A4" t="s">
        <v>242</v>
      </c>
      <c r="B4">
        <v>0.75</v>
      </c>
      <c r="U4" s="16" t="s">
        <v>243</v>
      </c>
      <c r="V4" s="16" t="s">
        <v>244</v>
      </c>
      <c r="FE4">
        <v>1</v>
      </c>
      <c r="FF4">
        <v>3</v>
      </c>
      <c r="FG4">
        <v>4</v>
      </c>
      <c r="FH4">
        <v>2</v>
      </c>
      <c r="FI4">
        <v>5</v>
      </c>
      <c r="FJ4">
        <v>7</v>
      </c>
      <c r="FK4">
        <v>6</v>
      </c>
    </row>
    <row r="5" spans="1:181" x14ac:dyDescent="0.2">
      <c r="B5" s="8" t="b">
        <v>0</v>
      </c>
      <c r="U5" s="19"/>
      <c r="V5" s="21" t="s">
        <v>245</v>
      </c>
      <c r="EI5" s="104" t="s">
        <v>246</v>
      </c>
    </row>
    <row r="6" spans="1:181" ht="12.75" customHeight="1" x14ac:dyDescent="0.2">
      <c r="A6" s="16" t="s">
        <v>247</v>
      </c>
      <c r="B6" s="16" t="s">
        <v>248</v>
      </c>
      <c r="D6" t="s">
        <v>245</v>
      </c>
      <c r="E6">
        <v>0</v>
      </c>
      <c r="F6" t="s">
        <v>245</v>
      </c>
      <c r="H6">
        <v>0</v>
      </c>
      <c r="I6" t="s">
        <v>245</v>
      </c>
      <c r="J6" t="s">
        <v>249</v>
      </c>
      <c r="K6" t="s">
        <v>245</v>
      </c>
      <c r="L6">
        <v>0</v>
      </c>
      <c r="M6" t="s">
        <v>245</v>
      </c>
      <c r="P6" t="s">
        <v>250</v>
      </c>
      <c r="U6" s="18" t="s">
        <v>251</v>
      </c>
      <c r="V6" s="18" t="s">
        <v>252</v>
      </c>
      <c r="W6" t="s">
        <v>253</v>
      </c>
      <c r="X6" s="65" t="s">
        <v>254</v>
      </c>
      <c r="Y6" s="18" t="s">
        <v>255</v>
      </c>
      <c r="Z6" t="s">
        <v>253</v>
      </c>
      <c r="EI6" s="104" t="s">
        <v>256</v>
      </c>
    </row>
    <row r="7" spans="1:181" ht="12.75" customHeight="1" x14ac:dyDescent="0.2">
      <c r="B7" s="20" t="s">
        <v>245</v>
      </c>
      <c r="D7" t="s">
        <v>257</v>
      </c>
      <c r="E7">
        <v>2</v>
      </c>
      <c r="F7" t="s">
        <v>62</v>
      </c>
      <c r="G7" t="s">
        <v>258</v>
      </c>
      <c r="H7">
        <v>1</v>
      </c>
      <c r="I7" t="s">
        <v>259</v>
      </c>
      <c r="J7" t="s">
        <v>260</v>
      </c>
      <c r="K7" t="s">
        <v>261</v>
      </c>
      <c r="L7">
        <v>1</v>
      </c>
      <c r="M7" t="s">
        <v>262</v>
      </c>
      <c r="P7" t="s">
        <v>263</v>
      </c>
      <c r="U7" s="18" t="s">
        <v>264</v>
      </c>
      <c r="V7" s="18" t="s">
        <v>265</v>
      </c>
      <c r="W7" t="s">
        <v>253</v>
      </c>
      <c r="X7" s="65" t="s">
        <v>266</v>
      </c>
      <c r="Y7" s="18" t="s">
        <v>267</v>
      </c>
      <c r="Z7" t="s">
        <v>253</v>
      </c>
    </row>
    <row r="8" spans="1:181" ht="12.75" customHeight="1" x14ac:dyDescent="0.2">
      <c r="A8" s="17">
        <v>1</v>
      </c>
      <c r="B8" s="18" t="s">
        <v>268</v>
      </c>
      <c r="D8" t="s">
        <v>269</v>
      </c>
      <c r="E8">
        <v>5</v>
      </c>
      <c r="F8" t="s">
        <v>270</v>
      </c>
      <c r="G8" t="s">
        <v>258</v>
      </c>
      <c r="H8">
        <v>2</v>
      </c>
      <c r="I8" t="s">
        <v>271</v>
      </c>
      <c r="J8" t="s">
        <v>272</v>
      </c>
      <c r="K8" t="s">
        <v>273</v>
      </c>
      <c r="L8">
        <v>2</v>
      </c>
      <c r="M8" t="s">
        <v>274</v>
      </c>
      <c r="U8" s="108">
        <v>30</v>
      </c>
      <c r="V8" s="18" t="s">
        <v>275</v>
      </c>
      <c r="W8" t="s">
        <v>207</v>
      </c>
      <c r="X8" s="65" t="s">
        <v>276</v>
      </c>
      <c r="Y8" s="18" t="s">
        <v>277</v>
      </c>
      <c r="Z8" t="s">
        <v>207</v>
      </c>
    </row>
    <row r="9" spans="1:181" ht="12.75" customHeight="1" x14ac:dyDescent="0.2">
      <c r="A9" s="17">
        <v>2</v>
      </c>
      <c r="B9" s="18" t="s">
        <v>278</v>
      </c>
      <c r="D9" t="s">
        <v>279</v>
      </c>
      <c r="E9">
        <v>3</v>
      </c>
      <c r="F9" t="s">
        <v>280</v>
      </c>
      <c r="G9" t="s">
        <v>281</v>
      </c>
      <c r="H9">
        <v>0</v>
      </c>
      <c r="I9" t="s">
        <v>282</v>
      </c>
      <c r="J9" t="s">
        <v>283</v>
      </c>
      <c r="K9" t="s">
        <v>284</v>
      </c>
      <c r="L9">
        <v>3</v>
      </c>
      <c r="M9" t="s">
        <v>285</v>
      </c>
      <c r="U9" s="109">
        <v>60</v>
      </c>
      <c r="V9" s="107" t="s">
        <v>286</v>
      </c>
      <c r="W9" t="s">
        <v>253</v>
      </c>
      <c r="X9" s="65" t="s">
        <v>254</v>
      </c>
      <c r="Y9" s="18" t="s">
        <v>287</v>
      </c>
      <c r="Z9" t="s">
        <v>253</v>
      </c>
    </row>
    <row r="10" spans="1:181" ht="12.75" customHeight="1" x14ac:dyDescent="0.2">
      <c r="E10">
        <v>4</v>
      </c>
      <c r="F10" t="s">
        <v>64</v>
      </c>
      <c r="G10" t="s">
        <v>281</v>
      </c>
      <c r="L10">
        <v>4</v>
      </c>
      <c r="M10" t="s">
        <v>288</v>
      </c>
      <c r="U10" s="109">
        <v>70</v>
      </c>
      <c r="V10" s="107" t="s">
        <v>289</v>
      </c>
      <c r="W10" t="s">
        <v>253</v>
      </c>
      <c r="X10" s="65" t="s">
        <v>266</v>
      </c>
      <c r="Y10" s="18" t="s">
        <v>290</v>
      </c>
      <c r="Z10" t="s">
        <v>253</v>
      </c>
    </row>
    <row r="11" spans="1:181" ht="12.75" customHeight="1" x14ac:dyDescent="0.2">
      <c r="E11">
        <v>7</v>
      </c>
      <c r="F11" t="s">
        <v>291</v>
      </c>
      <c r="G11" t="s">
        <v>281</v>
      </c>
      <c r="L11">
        <v>5</v>
      </c>
      <c r="M11" t="s">
        <v>292</v>
      </c>
      <c r="U11" s="110">
        <v>80</v>
      </c>
      <c r="V11" s="107" t="s">
        <v>293</v>
      </c>
      <c r="W11" t="s">
        <v>206</v>
      </c>
      <c r="X11" s="65" t="s">
        <v>276</v>
      </c>
      <c r="Y11" s="18" t="s">
        <v>294</v>
      </c>
      <c r="Z11" t="s">
        <v>206</v>
      </c>
    </row>
    <row r="12" spans="1:181" ht="12.75" customHeight="1" x14ac:dyDescent="0.2">
      <c r="U12" s="18" t="s">
        <v>264</v>
      </c>
      <c r="V12" s="18" t="s">
        <v>295</v>
      </c>
      <c r="W12" t="s">
        <v>206</v>
      </c>
      <c r="X12" s="65" t="s">
        <v>266</v>
      </c>
      <c r="Y12" s="18" t="s">
        <v>296</v>
      </c>
      <c r="Z12" t="s">
        <v>206</v>
      </c>
    </row>
    <row r="13" spans="1:181" ht="11.25" customHeight="1" x14ac:dyDescent="0.2">
      <c r="U13" s="18" t="s">
        <v>297</v>
      </c>
      <c r="V13" s="18" t="s">
        <v>255</v>
      </c>
      <c r="W13" t="s">
        <v>253</v>
      </c>
      <c r="X13" s="65" t="s">
        <v>254</v>
      </c>
      <c r="Y13" s="18" t="s">
        <v>298</v>
      </c>
      <c r="Z13" t="s">
        <v>253</v>
      </c>
    </row>
    <row r="14" spans="1:181" ht="12.75" customHeight="1" x14ac:dyDescent="0.2">
      <c r="U14" s="65" t="s">
        <v>297</v>
      </c>
      <c r="V14" s="18" t="s">
        <v>267</v>
      </c>
      <c r="W14" t="s">
        <v>253</v>
      </c>
      <c r="X14" s="65" t="s">
        <v>266</v>
      </c>
      <c r="Y14" s="18" t="s">
        <v>299</v>
      </c>
      <c r="Z14" t="s">
        <v>253</v>
      </c>
    </row>
    <row r="15" spans="1:181" ht="12.75" customHeight="1" x14ac:dyDescent="0.2">
      <c r="U15" s="18" t="s">
        <v>300</v>
      </c>
      <c r="V15" s="18" t="s">
        <v>277</v>
      </c>
      <c r="W15" t="s">
        <v>253</v>
      </c>
      <c r="X15" s="65" t="s">
        <v>254</v>
      </c>
      <c r="Y15" s="18" t="s">
        <v>301</v>
      </c>
      <c r="Z15" t="s">
        <v>253</v>
      </c>
    </row>
    <row r="16" spans="1:181" ht="12.75" customHeight="1" x14ac:dyDescent="0.2">
      <c r="G16" t="s">
        <v>245</v>
      </c>
      <c r="U16" s="18" t="s">
        <v>300</v>
      </c>
      <c r="V16" s="18" t="s">
        <v>287</v>
      </c>
      <c r="W16" t="s">
        <v>253</v>
      </c>
      <c r="X16" s="65" t="s">
        <v>266</v>
      </c>
      <c r="Y16" s="18" t="s">
        <v>295</v>
      </c>
      <c r="Z16" t="s">
        <v>253</v>
      </c>
    </row>
    <row r="17" spans="1:30" ht="12.75" customHeight="1" x14ac:dyDescent="0.2">
      <c r="G17" t="s">
        <v>302</v>
      </c>
      <c r="U17" s="65" t="s">
        <v>300</v>
      </c>
      <c r="V17" s="18" t="s">
        <v>290</v>
      </c>
    </row>
    <row r="18" spans="1:30" ht="12.75" customHeight="1" x14ac:dyDescent="0.2">
      <c r="G18" t="s">
        <v>303</v>
      </c>
      <c r="U18" s="18" t="s">
        <v>300</v>
      </c>
      <c r="V18" s="18" t="s">
        <v>294</v>
      </c>
    </row>
    <row r="19" spans="1:30" ht="12.75" customHeight="1" x14ac:dyDescent="0.2">
      <c r="G19" t="s">
        <v>304</v>
      </c>
      <c r="U19" s="18" t="s">
        <v>300</v>
      </c>
      <c r="V19" s="18" t="s">
        <v>296</v>
      </c>
    </row>
    <row r="20" spans="1:30" ht="12.75" customHeight="1" x14ac:dyDescent="0.2">
      <c r="G20" t="s">
        <v>305</v>
      </c>
      <c r="U20" s="18" t="s">
        <v>251</v>
      </c>
      <c r="V20" s="18" t="s">
        <v>299</v>
      </c>
    </row>
    <row r="21" spans="1:30" ht="12.75" customHeight="1" x14ac:dyDescent="0.2">
      <c r="U21" s="18" t="s">
        <v>306</v>
      </c>
      <c r="V21" s="18" t="s">
        <v>204</v>
      </c>
      <c r="W21" t="s">
        <v>253</v>
      </c>
      <c r="X21" s="65" t="s">
        <v>254</v>
      </c>
      <c r="Y21" s="18" t="s">
        <v>204</v>
      </c>
      <c r="Z21" t="s">
        <v>253</v>
      </c>
    </row>
    <row r="22" spans="1:30" ht="12.75" customHeight="1" x14ac:dyDescent="0.2">
      <c r="U22" s="18" t="s">
        <v>306</v>
      </c>
      <c r="V22" s="18" t="s">
        <v>307</v>
      </c>
      <c r="W22" t="s">
        <v>253</v>
      </c>
      <c r="X22" s="65" t="s">
        <v>266</v>
      </c>
      <c r="Y22" s="18" t="s">
        <v>307</v>
      </c>
      <c r="Z22" t="s">
        <v>253</v>
      </c>
    </row>
    <row r="23" spans="1:30" ht="12.75" customHeight="1" x14ac:dyDescent="0.2">
      <c r="U23" s="18" t="s">
        <v>308</v>
      </c>
      <c r="V23" s="18" t="s">
        <v>309</v>
      </c>
      <c r="W23" t="s">
        <v>207</v>
      </c>
      <c r="X23" s="65" t="s">
        <v>276</v>
      </c>
      <c r="Y23" s="18" t="s">
        <v>309</v>
      </c>
      <c r="Z23" t="s">
        <v>207</v>
      </c>
    </row>
    <row r="24" spans="1:30" ht="12.75" customHeight="1" x14ac:dyDescent="0.2">
      <c r="U24" s="18" t="s">
        <v>308</v>
      </c>
      <c r="V24" s="18" t="s">
        <v>310</v>
      </c>
      <c r="W24" t="s">
        <v>253</v>
      </c>
      <c r="X24" s="65" t="s">
        <v>254</v>
      </c>
      <c r="Y24" s="18" t="s">
        <v>310</v>
      </c>
      <c r="Z24" t="s">
        <v>253</v>
      </c>
    </row>
    <row r="25" spans="1:30" x14ac:dyDescent="0.2">
      <c r="U25" s="18" t="s">
        <v>308</v>
      </c>
      <c r="V25" s="18" t="s">
        <v>311</v>
      </c>
      <c r="W25" t="s">
        <v>253</v>
      </c>
      <c r="X25" s="65" t="s">
        <v>254</v>
      </c>
      <c r="Y25" s="18" t="s">
        <v>311</v>
      </c>
      <c r="Z25" t="s">
        <v>253</v>
      </c>
    </row>
    <row r="26" spans="1:30" x14ac:dyDescent="0.2">
      <c r="A26" t="s">
        <v>312</v>
      </c>
      <c r="B26" t="b">
        <v>1</v>
      </c>
      <c r="U26" s="65" t="s">
        <v>308</v>
      </c>
      <c r="V26" s="18" t="s">
        <v>313</v>
      </c>
      <c r="W26" t="s">
        <v>253</v>
      </c>
      <c r="X26" s="65" t="s">
        <v>266</v>
      </c>
      <c r="Y26" s="18" t="s">
        <v>313</v>
      </c>
      <c r="Z26" t="s">
        <v>253</v>
      </c>
    </row>
    <row r="27" spans="1:30" x14ac:dyDescent="0.2">
      <c r="A27" t="s">
        <v>314</v>
      </c>
      <c r="B27" t="b">
        <v>0</v>
      </c>
      <c r="U27" s="18" t="s">
        <v>308</v>
      </c>
      <c r="V27" s="18" t="s">
        <v>315</v>
      </c>
      <c r="W27" t="s">
        <v>206</v>
      </c>
      <c r="X27" s="65" t="s">
        <v>276</v>
      </c>
      <c r="Y27" s="18" t="s">
        <v>315</v>
      </c>
      <c r="Z27" t="s">
        <v>206</v>
      </c>
    </row>
    <row r="29" spans="1:30" x14ac:dyDescent="0.2">
      <c r="B29" t="s">
        <v>245</v>
      </c>
    </row>
    <row r="30" spans="1:30" x14ac:dyDescent="0.2">
      <c r="A30">
        <v>1</v>
      </c>
      <c r="B30" t="s">
        <v>316</v>
      </c>
      <c r="C30" t="s">
        <v>317</v>
      </c>
      <c r="F30" t="s">
        <v>245</v>
      </c>
      <c r="G30" t="s">
        <v>318</v>
      </c>
      <c r="H30" t="s">
        <v>319</v>
      </c>
      <c r="P30" s="112"/>
      <c r="AD30" t="str">
        <f>IF(E57=TRUE,"GESB",IF(E58=TRUE,"GESA",IF(F56=TRUE,"DEVB","")))</f>
        <v/>
      </c>
    </row>
    <row r="31" spans="1:30" x14ac:dyDescent="0.2">
      <c r="A31">
        <v>2</v>
      </c>
      <c r="B31" t="s">
        <v>320</v>
      </c>
      <c r="C31" t="s">
        <v>320</v>
      </c>
      <c r="E31" s="65" t="s">
        <v>321</v>
      </c>
      <c r="F31" t="s">
        <v>322</v>
      </c>
      <c r="G31">
        <v>50</v>
      </c>
      <c r="H31" t="s">
        <v>323</v>
      </c>
      <c r="P31" s="112"/>
    </row>
    <row r="32" spans="1:30" x14ac:dyDescent="0.2">
      <c r="A32">
        <v>3</v>
      </c>
      <c r="B32" t="s">
        <v>324</v>
      </c>
      <c r="C32" t="s">
        <v>324</v>
      </c>
      <c r="E32" s="65" t="s">
        <v>325</v>
      </c>
      <c r="F32" t="s">
        <v>326</v>
      </c>
      <c r="G32">
        <v>50</v>
      </c>
      <c r="H32" t="s">
        <v>327</v>
      </c>
      <c r="V32" t="s">
        <v>328</v>
      </c>
      <c r="Y32" t="s">
        <v>329</v>
      </c>
    </row>
    <row r="33" spans="1:25" x14ac:dyDescent="0.2">
      <c r="A33">
        <v>4</v>
      </c>
      <c r="B33" t="s">
        <v>330</v>
      </c>
      <c r="C33" t="s">
        <v>330</v>
      </c>
      <c r="E33" s="65" t="s">
        <v>331</v>
      </c>
      <c r="F33" t="s">
        <v>332</v>
      </c>
      <c r="G33">
        <v>50</v>
      </c>
      <c r="H33" t="s">
        <v>333</v>
      </c>
      <c r="V33" t="s">
        <v>334</v>
      </c>
      <c r="Y33" t="s">
        <v>335</v>
      </c>
    </row>
    <row r="34" spans="1:25" x14ac:dyDescent="0.2">
      <c r="A34">
        <v>5</v>
      </c>
      <c r="B34" t="s">
        <v>336</v>
      </c>
      <c r="C34" t="s">
        <v>336</v>
      </c>
      <c r="E34" s="65" t="s">
        <v>337</v>
      </c>
      <c r="F34" t="s">
        <v>338</v>
      </c>
      <c r="G34">
        <v>50</v>
      </c>
      <c r="H34" t="s">
        <v>339</v>
      </c>
    </row>
    <row r="35" spans="1:25" x14ac:dyDescent="0.2">
      <c r="A35">
        <v>6</v>
      </c>
      <c r="B35" t="s">
        <v>340</v>
      </c>
      <c r="C35" t="s">
        <v>340</v>
      </c>
    </row>
    <row r="36" spans="1:25" x14ac:dyDescent="0.2">
      <c r="A36">
        <v>7</v>
      </c>
      <c r="B36" t="s">
        <v>341</v>
      </c>
      <c r="C36" t="s">
        <v>342</v>
      </c>
    </row>
    <row r="37" spans="1:25" x14ac:dyDescent="0.2">
      <c r="A37">
        <v>8</v>
      </c>
      <c r="B37" t="s">
        <v>343</v>
      </c>
      <c r="C37" t="s">
        <v>344</v>
      </c>
    </row>
    <row r="38" spans="1:25" x14ac:dyDescent="0.2">
      <c r="A38">
        <v>9</v>
      </c>
      <c r="B38" t="s">
        <v>345</v>
      </c>
      <c r="C38" t="s">
        <v>346</v>
      </c>
    </row>
    <row r="39" spans="1:25" x14ac:dyDescent="0.2">
      <c r="A39">
        <v>10</v>
      </c>
      <c r="B39" t="s">
        <v>347</v>
      </c>
      <c r="C39" t="s">
        <v>348</v>
      </c>
    </row>
    <row r="40" spans="1:25" x14ac:dyDescent="0.2">
      <c r="A40">
        <v>11</v>
      </c>
      <c r="B40" t="s">
        <v>349</v>
      </c>
      <c r="C40" t="s">
        <v>350</v>
      </c>
    </row>
    <row r="41" spans="1:25" x14ac:dyDescent="0.2">
      <c r="A41">
        <v>12</v>
      </c>
      <c r="B41" t="s">
        <v>351</v>
      </c>
      <c r="C41" t="s">
        <v>352</v>
      </c>
    </row>
    <row r="42" spans="1:25" x14ac:dyDescent="0.2">
      <c r="A42">
        <v>13</v>
      </c>
      <c r="B42" t="s">
        <v>353</v>
      </c>
      <c r="C42" s="66" t="s">
        <v>354</v>
      </c>
    </row>
    <row r="43" spans="1:25" x14ac:dyDescent="0.2">
      <c r="A43">
        <v>14</v>
      </c>
      <c r="B43" t="s">
        <v>355</v>
      </c>
      <c r="C43" s="66" t="s">
        <v>356</v>
      </c>
    </row>
    <row r="44" spans="1:25" x14ac:dyDescent="0.2">
      <c r="A44">
        <v>15</v>
      </c>
      <c r="B44" t="s">
        <v>357</v>
      </c>
    </row>
    <row r="45" spans="1:25" x14ac:dyDescent="0.2">
      <c r="A45">
        <v>16</v>
      </c>
      <c r="B45" t="s">
        <v>358</v>
      </c>
    </row>
    <row r="47" spans="1:25" x14ac:dyDescent="0.2">
      <c r="A47">
        <v>0</v>
      </c>
      <c r="B47" t="s">
        <v>245</v>
      </c>
      <c r="C47">
        <v>0</v>
      </c>
      <c r="D47">
        <v>0</v>
      </c>
      <c r="E47" t="s">
        <v>245</v>
      </c>
      <c r="F47">
        <v>0</v>
      </c>
    </row>
    <row r="48" spans="1:25" x14ac:dyDescent="0.2">
      <c r="A48">
        <v>1</v>
      </c>
      <c r="B48" t="s">
        <v>359</v>
      </c>
      <c r="C48">
        <v>1</v>
      </c>
      <c r="D48">
        <v>1</v>
      </c>
      <c r="E48" t="s">
        <v>360</v>
      </c>
      <c r="F48">
        <v>1</v>
      </c>
    </row>
    <row r="49" spans="1:24" x14ac:dyDescent="0.2">
      <c r="A49">
        <v>2</v>
      </c>
      <c r="B49" t="s">
        <v>361</v>
      </c>
      <c r="C49">
        <f>1/2.204624</f>
        <v>0.45359208645102295</v>
      </c>
      <c r="D49">
        <v>2</v>
      </c>
      <c r="E49" t="s">
        <v>362</v>
      </c>
      <c r="F49">
        <v>9.2903040000000006E-2</v>
      </c>
    </row>
    <row r="52" spans="1:24" x14ac:dyDescent="0.2">
      <c r="B52" s="8" t="b">
        <v>0</v>
      </c>
      <c r="D52" s="8" t="b">
        <v>0</v>
      </c>
      <c r="E52" s="8" t="b">
        <v>0</v>
      </c>
      <c r="F52" s="8" t="b">
        <v>0</v>
      </c>
      <c r="G52" s="8" t="b">
        <v>0</v>
      </c>
    </row>
    <row r="53" spans="1:24" x14ac:dyDescent="0.2">
      <c r="B53" s="8" t="b">
        <v>0</v>
      </c>
      <c r="D53" s="8" t="b">
        <v>0</v>
      </c>
      <c r="E53" s="8" t="b">
        <v>0</v>
      </c>
      <c r="F53" s="8" t="b">
        <v>0</v>
      </c>
      <c r="G53" s="8" t="b">
        <v>0</v>
      </c>
    </row>
    <row r="54" spans="1:24" x14ac:dyDescent="0.2">
      <c r="B54" s="8" t="b">
        <v>0</v>
      </c>
      <c r="D54" s="8" t="b">
        <v>0</v>
      </c>
      <c r="F54" s="8" t="b">
        <v>0</v>
      </c>
      <c r="G54" s="8" t="b">
        <v>0</v>
      </c>
    </row>
    <row r="55" spans="1:24" x14ac:dyDescent="0.2">
      <c r="A55" t="s">
        <v>363</v>
      </c>
      <c r="B55" t="s">
        <v>62</v>
      </c>
      <c r="C55" t="s">
        <v>364</v>
      </c>
      <c r="D55" t="s">
        <v>64</v>
      </c>
      <c r="E55" t="s">
        <v>65</v>
      </c>
      <c r="F55" t="s">
        <v>365</v>
      </c>
      <c r="G55" t="s">
        <v>67</v>
      </c>
      <c r="I55" s="65" t="s">
        <v>366</v>
      </c>
      <c r="J55" t="s">
        <v>363</v>
      </c>
      <c r="K55" s="65" t="s">
        <v>367</v>
      </c>
      <c r="L55" t="s">
        <v>62</v>
      </c>
      <c r="M55" s="65" t="s">
        <v>368</v>
      </c>
      <c r="N55" t="s">
        <v>364</v>
      </c>
      <c r="O55" s="65" t="s">
        <v>369</v>
      </c>
      <c r="P55" t="s">
        <v>64</v>
      </c>
      <c r="Q55" s="65" t="s">
        <v>370</v>
      </c>
      <c r="R55" t="s">
        <v>65</v>
      </c>
      <c r="S55" s="65" t="s">
        <v>371</v>
      </c>
      <c r="T55" t="s">
        <v>365</v>
      </c>
      <c r="U55" s="65" t="s">
        <v>372</v>
      </c>
      <c r="V55" t="s">
        <v>373</v>
      </c>
      <c r="W55" t="s">
        <v>374</v>
      </c>
      <c r="X55" t="s">
        <v>375</v>
      </c>
    </row>
    <row r="56" spans="1:24" x14ac:dyDescent="0.2">
      <c r="A56" s="8" t="b">
        <v>0</v>
      </c>
      <c r="B56" s="8" t="b">
        <v>0</v>
      </c>
      <c r="C56" s="8" t="b">
        <v>1</v>
      </c>
      <c r="D56" s="8" t="b">
        <v>0</v>
      </c>
      <c r="E56" s="8" t="b">
        <v>0</v>
      </c>
      <c r="F56" s="8" t="b">
        <v>0</v>
      </c>
      <c r="G56" s="8" t="b">
        <v>0</v>
      </c>
      <c r="H56" s="8"/>
      <c r="I56" s="65" t="s">
        <v>376</v>
      </c>
      <c r="J56" t="s">
        <v>377</v>
      </c>
      <c r="K56" s="65" t="s">
        <v>378</v>
      </c>
      <c r="L56" t="s">
        <v>379</v>
      </c>
      <c r="M56" s="65" t="s">
        <v>380</v>
      </c>
      <c r="N56" t="s">
        <v>63</v>
      </c>
      <c r="O56" s="65" t="s">
        <v>381</v>
      </c>
      <c r="P56" t="s">
        <v>382</v>
      </c>
      <c r="Q56" s="65" t="s">
        <v>383</v>
      </c>
      <c r="R56" t="s">
        <v>384</v>
      </c>
      <c r="S56" s="65" t="s">
        <v>385</v>
      </c>
      <c r="T56" t="s">
        <v>386</v>
      </c>
      <c r="U56" s="65" t="s">
        <v>387</v>
      </c>
      <c r="V56" t="s">
        <v>388</v>
      </c>
    </row>
    <row r="57" spans="1:24" x14ac:dyDescent="0.2">
      <c r="A57" s="8"/>
      <c r="B57" s="8" t="b">
        <v>0</v>
      </c>
      <c r="C57" s="8"/>
      <c r="D57" s="8" t="b">
        <v>0</v>
      </c>
      <c r="E57" s="8" t="b">
        <v>0</v>
      </c>
      <c r="F57" s="8" t="b">
        <v>0</v>
      </c>
      <c r="G57" s="8" t="b">
        <v>0</v>
      </c>
      <c r="H57" s="8">
        <v>0.15</v>
      </c>
      <c r="I57" s="65" t="s">
        <v>389</v>
      </c>
      <c r="J57" t="s">
        <v>390</v>
      </c>
      <c r="K57" s="65" t="s">
        <v>391</v>
      </c>
      <c r="L57" t="s">
        <v>392</v>
      </c>
      <c r="O57" s="65" t="s">
        <v>393</v>
      </c>
      <c r="P57" t="s">
        <v>394</v>
      </c>
      <c r="Q57" s="65" t="s">
        <v>395</v>
      </c>
      <c r="R57" t="s">
        <v>396</v>
      </c>
      <c r="S57" s="65" t="s">
        <v>397</v>
      </c>
      <c r="T57" t="s">
        <v>398</v>
      </c>
      <c r="U57" s="65" t="s">
        <v>399</v>
      </c>
      <c r="V57" t="s">
        <v>400</v>
      </c>
    </row>
    <row r="58" spans="1:24" x14ac:dyDescent="0.2">
      <c r="A58" s="8"/>
      <c r="B58" s="8" t="b">
        <v>0</v>
      </c>
      <c r="C58" s="8"/>
      <c r="D58" s="8" t="b">
        <v>0</v>
      </c>
      <c r="E58" s="8" t="b">
        <v>0</v>
      </c>
      <c r="F58" s="8" t="b">
        <v>0</v>
      </c>
      <c r="G58" s="8" t="b">
        <v>0</v>
      </c>
      <c r="H58" s="8">
        <v>0.15</v>
      </c>
      <c r="I58" s="65" t="s">
        <v>401</v>
      </c>
      <c r="J58" t="s">
        <v>402</v>
      </c>
      <c r="K58" s="65" t="s">
        <v>403</v>
      </c>
      <c r="L58" t="s">
        <v>404</v>
      </c>
      <c r="O58" s="65" t="s">
        <v>393</v>
      </c>
      <c r="P58" t="s">
        <v>405</v>
      </c>
    </row>
    <row r="59" spans="1:24" x14ac:dyDescent="0.2">
      <c r="A59" s="8"/>
      <c r="B59" s="8" t="b">
        <v>0</v>
      </c>
      <c r="C59" s="8"/>
      <c r="D59" s="8" t="b">
        <v>0</v>
      </c>
      <c r="E59" s="8"/>
      <c r="F59" s="8" t="b">
        <v>0</v>
      </c>
      <c r="G59" s="8" t="b">
        <v>0</v>
      </c>
      <c r="H59" s="8">
        <v>0.1</v>
      </c>
      <c r="I59" s="65" t="s">
        <v>406</v>
      </c>
      <c r="J59" t="s">
        <v>407</v>
      </c>
      <c r="K59" s="65" t="s">
        <v>408</v>
      </c>
      <c r="L59" t="s">
        <v>409</v>
      </c>
      <c r="O59" s="65" t="s">
        <v>410</v>
      </c>
      <c r="P59" t="s">
        <v>411</v>
      </c>
    </row>
    <row r="60" spans="1:24" x14ac:dyDescent="0.2">
      <c r="B60" s="8" t="b">
        <v>0</v>
      </c>
      <c r="D60" s="8" t="b">
        <v>0</v>
      </c>
      <c r="I60" s="65" t="s">
        <v>412</v>
      </c>
      <c r="J60" t="s">
        <v>413</v>
      </c>
    </row>
    <row r="61" spans="1:24" x14ac:dyDescent="0.2">
      <c r="B61" s="8" t="b">
        <v>0</v>
      </c>
      <c r="I61" s="65" t="s">
        <v>414</v>
      </c>
      <c r="J61" t="s">
        <v>415</v>
      </c>
      <c r="O61" s="65"/>
    </row>
    <row r="62" spans="1:24" x14ac:dyDescent="0.2">
      <c r="B62" s="153" t="s">
        <v>416</v>
      </c>
      <c r="C62" s="153"/>
      <c r="D62" s="153" t="s">
        <v>417</v>
      </c>
      <c r="E62" s="153"/>
    </row>
    <row r="63" spans="1:24" x14ac:dyDescent="0.2">
      <c r="B63" t="s">
        <v>418</v>
      </c>
      <c r="C63" t="s">
        <v>419</v>
      </c>
      <c r="D63" t="s">
        <v>418</v>
      </c>
      <c r="E63" t="s">
        <v>419</v>
      </c>
    </row>
    <row r="64" spans="1:24" x14ac:dyDescent="0.2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</row>
    <row r="65" spans="1:31" x14ac:dyDescent="0.2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</row>
    <row r="66" spans="1:31" x14ac:dyDescent="0.2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</row>
    <row r="67" spans="1:31" x14ac:dyDescent="0.2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</row>
    <row r="68" spans="1:31" x14ac:dyDescent="0.2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</row>
    <row r="69" spans="1:31" x14ac:dyDescent="0.2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</row>
    <row r="70" spans="1:31" x14ac:dyDescent="0.2">
      <c r="A70" t="s">
        <v>420</v>
      </c>
      <c r="B70" t="e">
        <f>SUM(B64:B69)</f>
        <v>#REF!</v>
      </c>
      <c r="C70" t="e">
        <f>SUM(C64:C69)</f>
        <v>#REF!</v>
      </c>
      <c r="D70" t="e">
        <f>SUM(D64:D69)</f>
        <v>#REF!</v>
      </c>
      <c r="E70" t="e">
        <f>SUM(E64:E69)</f>
        <v>#REF!</v>
      </c>
    </row>
    <row r="74" spans="1:31" ht="12.75" customHeight="1" x14ac:dyDescent="0.2">
      <c r="A74" s="103" t="s">
        <v>421</v>
      </c>
      <c r="B74" s="103" t="s">
        <v>422</v>
      </c>
      <c r="C74" s="103" t="s">
        <v>423</v>
      </c>
      <c r="D74" s="103" t="s">
        <v>424</v>
      </c>
      <c r="E74" s="103" t="s">
        <v>425</v>
      </c>
      <c r="F74" s="103" t="s">
        <v>426</v>
      </c>
      <c r="G74" s="103" t="s">
        <v>427</v>
      </c>
      <c r="H74" s="103" t="s">
        <v>428</v>
      </c>
      <c r="I74" s="103" t="s">
        <v>429</v>
      </c>
      <c r="J74" s="103" t="s">
        <v>430</v>
      </c>
      <c r="K74" s="103" t="s">
        <v>431</v>
      </c>
      <c r="L74" s="103" t="s">
        <v>432</v>
      </c>
      <c r="M74" s="103" t="s">
        <v>433</v>
      </c>
      <c r="N74" s="103" t="s">
        <v>434</v>
      </c>
      <c r="O74" s="103" t="s">
        <v>435</v>
      </c>
      <c r="P74" s="103" t="s">
        <v>436</v>
      </c>
      <c r="Q74" s="103" t="s">
        <v>437</v>
      </c>
      <c r="R74" s="103" t="s">
        <v>438</v>
      </c>
      <c r="S74" s="103" t="s">
        <v>439</v>
      </c>
      <c r="T74" s="103" t="s">
        <v>440</v>
      </c>
      <c r="U74" s="103" t="s">
        <v>441</v>
      </c>
      <c r="V74" s="103" t="s">
        <v>442</v>
      </c>
      <c r="W74" s="103" t="s">
        <v>443</v>
      </c>
      <c r="X74" s="103" t="s">
        <v>444</v>
      </c>
      <c r="Z74" s="31" t="s">
        <v>445</v>
      </c>
      <c r="AA74" s="31" t="s">
        <v>446</v>
      </c>
      <c r="AB74" s="31"/>
      <c r="AC74" s="31" t="s">
        <v>447</v>
      </c>
      <c r="AD74" s="31" t="s">
        <v>448</v>
      </c>
      <c r="AE74" s="31" t="s">
        <v>449</v>
      </c>
    </row>
    <row r="75" spans="1:31" ht="12.75" customHeight="1" x14ac:dyDescent="0.2">
      <c r="A75" s="32">
        <v>1</v>
      </c>
      <c r="B75" s="33" t="s">
        <v>450</v>
      </c>
      <c r="C75" s="33" t="s">
        <v>451</v>
      </c>
      <c r="D75" s="100">
        <v>3.6</v>
      </c>
      <c r="E75" s="101">
        <v>2.04</v>
      </c>
      <c r="F75" s="100">
        <v>1</v>
      </c>
      <c r="G75" s="100">
        <v>3413</v>
      </c>
      <c r="H75" s="83" t="s">
        <v>452</v>
      </c>
      <c r="I75" s="83" t="s">
        <v>453</v>
      </c>
      <c r="J75" s="33"/>
      <c r="K75" s="100">
        <v>2</v>
      </c>
      <c r="L75" s="100">
        <v>2.0000000000000001E-4</v>
      </c>
      <c r="M75" s="100">
        <v>1E-4</v>
      </c>
      <c r="N75" s="101">
        <v>2.04</v>
      </c>
      <c r="O75" s="83" t="s">
        <v>283</v>
      </c>
      <c r="P75" s="101">
        <v>0</v>
      </c>
      <c r="Q75" s="83" t="s">
        <v>454</v>
      </c>
      <c r="R75" s="83" t="s">
        <v>454</v>
      </c>
      <c r="S75" s="83" t="s">
        <v>454</v>
      </c>
      <c r="T75" s="83" t="s">
        <v>454</v>
      </c>
      <c r="U75" s="83" t="s">
        <v>454</v>
      </c>
      <c r="V75" s="83" t="s">
        <v>454</v>
      </c>
      <c r="W75" s="102">
        <v>0</v>
      </c>
      <c r="X75" s="100">
        <v>0</v>
      </c>
      <c r="Y75" s="8"/>
      <c r="Z75" s="101">
        <v>1</v>
      </c>
      <c r="AA75" s="83" t="s">
        <v>455</v>
      </c>
      <c r="AB75" s="8" t="s">
        <v>359</v>
      </c>
      <c r="AC75" s="83" t="s">
        <v>431</v>
      </c>
      <c r="AD75" s="100">
        <v>1</v>
      </c>
      <c r="AE75" s="83" t="s">
        <v>456</v>
      </c>
    </row>
    <row r="76" spans="1:31" ht="12.75" customHeight="1" x14ac:dyDescent="0.2">
      <c r="A76" s="32">
        <v>2</v>
      </c>
      <c r="B76" s="33" t="s">
        <v>457</v>
      </c>
      <c r="C76" s="33" t="s">
        <v>458</v>
      </c>
      <c r="D76" s="100">
        <v>37.89</v>
      </c>
      <c r="E76" s="101">
        <v>1889.32</v>
      </c>
      <c r="F76" s="100">
        <v>10.525</v>
      </c>
      <c r="G76" s="100">
        <v>35921.944000000003</v>
      </c>
      <c r="H76" s="83" t="s">
        <v>459</v>
      </c>
      <c r="I76" s="83" t="s">
        <v>460</v>
      </c>
      <c r="J76" s="33"/>
      <c r="K76" s="100">
        <v>1878</v>
      </c>
      <c r="L76" s="100">
        <v>3.6999999999999998E-2</v>
      </c>
      <c r="M76" s="100">
        <v>3.4000000000000002E-2</v>
      </c>
      <c r="N76" s="101">
        <v>1889.32</v>
      </c>
      <c r="O76" s="83" t="s">
        <v>461</v>
      </c>
      <c r="P76" s="101">
        <v>0</v>
      </c>
      <c r="Q76" s="83" t="s">
        <v>462</v>
      </c>
      <c r="R76" s="83" t="s">
        <v>463</v>
      </c>
      <c r="S76" s="83" t="s">
        <v>464</v>
      </c>
      <c r="T76" s="83" t="s">
        <v>465</v>
      </c>
      <c r="U76" s="83" t="s">
        <v>466</v>
      </c>
      <c r="V76" s="83" t="s">
        <v>467</v>
      </c>
      <c r="W76" s="102">
        <v>0.1285</v>
      </c>
      <c r="X76" s="100">
        <v>244.40789950000001</v>
      </c>
      <c r="Y76" s="8"/>
      <c r="Z76" s="101">
        <v>10</v>
      </c>
      <c r="AA76" s="83" t="s">
        <v>468</v>
      </c>
      <c r="AB76" s="8" t="s">
        <v>359</v>
      </c>
      <c r="AC76" s="83" t="s">
        <v>469</v>
      </c>
      <c r="AD76" s="100">
        <v>1300</v>
      </c>
      <c r="AE76" s="83" t="s">
        <v>456</v>
      </c>
    </row>
    <row r="77" spans="1:31" ht="12.75" customHeight="1" x14ac:dyDescent="0.2">
      <c r="A77" s="32">
        <v>3</v>
      </c>
      <c r="B77" s="33" t="s">
        <v>470</v>
      </c>
      <c r="C77" s="33" t="s">
        <v>471</v>
      </c>
      <c r="D77" s="100">
        <v>38.5</v>
      </c>
      <c r="E77" s="101">
        <v>2734.7359999999999</v>
      </c>
      <c r="F77" s="100">
        <v>10.69</v>
      </c>
      <c r="G77" s="100">
        <v>36500.14</v>
      </c>
      <c r="H77" s="83" t="s">
        <v>472</v>
      </c>
      <c r="I77" s="83" t="s">
        <v>473</v>
      </c>
      <c r="J77" s="33"/>
      <c r="K77" s="100">
        <v>2725</v>
      </c>
      <c r="L77" s="100">
        <v>6.0000000000000001E-3</v>
      </c>
      <c r="M77" s="100">
        <v>3.1E-2</v>
      </c>
      <c r="N77" s="101">
        <v>2734.7359999999999</v>
      </c>
      <c r="O77" s="83" t="s">
        <v>474</v>
      </c>
      <c r="P77" s="101">
        <v>1</v>
      </c>
      <c r="Q77" s="83" t="s">
        <v>454</v>
      </c>
      <c r="R77" s="83" t="s">
        <v>454</v>
      </c>
      <c r="S77" s="83" t="s">
        <v>454</v>
      </c>
      <c r="T77" s="83" t="s">
        <v>454</v>
      </c>
      <c r="U77" s="83" t="s">
        <v>454</v>
      </c>
      <c r="V77" s="83" t="s">
        <v>454</v>
      </c>
      <c r="W77" s="102">
        <v>0.107</v>
      </c>
      <c r="X77" s="100">
        <v>292.61675200000002</v>
      </c>
      <c r="Y77" s="8"/>
      <c r="Z77" s="101">
        <v>31</v>
      </c>
      <c r="AA77" s="83" t="s">
        <v>475</v>
      </c>
      <c r="AB77" s="8" t="s">
        <v>359</v>
      </c>
      <c r="AC77" s="83" t="s">
        <v>476</v>
      </c>
      <c r="AD77" s="100">
        <v>1810</v>
      </c>
      <c r="AE77" s="83" t="s">
        <v>477</v>
      </c>
    </row>
    <row r="78" spans="1:31" ht="12.75" customHeight="1" x14ac:dyDescent="0.2">
      <c r="A78" s="32">
        <v>4</v>
      </c>
      <c r="B78" s="33" t="s">
        <v>478</v>
      </c>
      <c r="C78" s="33" t="s">
        <v>471</v>
      </c>
      <c r="D78" s="100">
        <v>42.5</v>
      </c>
      <c r="E78" s="101">
        <v>3146.36</v>
      </c>
      <c r="F78" s="100">
        <v>11.805555555</v>
      </c>
      <c r="G78" s="100">
        <v>40292.361109999998</v>
      </c>
      <c r="H78" s="83" t="s">
        <v>472</v>
      </c>
      <c r="I78" s="83" t="s">
        <v>473</v>
      </c>
      <c r="J78" s="33"/>
      <c r="K78" s="100">
        <v>3124</v>
      </c>
      <c r="L78" s="100">
        <v>0.12</v>
      </c>
      <c r="M78" s="100">
        <v>6.4000000000000001E-2</v>
      </c>
      <c r="N78" s="101">
        <v>3146.36</v>
      </c>
      <c r="O78" s="83" t="s">
        <v>479</v>
      </c>
      <c r="P78" s="101">
        <v>1</v>
      </c>
      <c r="Q78" s="83" t="s">
        <v>454</v>
      </c>
      <c r="R78" s="83" t="s">
        <v>454</v>
      </c>
      <c r="S78" s="83" t="s">
        <v>454</v>
      </c>
      <c r="T78" s="83" t="s">
        <v>454</v>
      </c>
      <c r="U78" s="83" t="s">
        <v>454</v>
      </c>
      <c r="V78" s="83" t="s">
        <v>454</v>
      </c>
      <c r="W78" s="102">
        <v>0.13700000000000001</v>
      </c>
      <c r="X78" s="100">
        <v>431.05131999999998</v>
      </c>
      <c r="Y78" s="8"/>
      <c r="Z78" s="101">
        <v>47</v>
      </c>
      <c r="AA78" s="83" t="s">
        <v>480</v>
      </c>
      <c r="AB78" s="8" t="s">
        <v>359</v>
      </c>
      <c r="AC78" s="83" t="s">
        <v>481</v>
      </c>
      <c r="AD78" s="100">
        <v>3260</v>
      </c>
      <c r="AE78" s="83" t="s">
        <v>456</v>
      </c>
    </row>
    <row r="79" spans="1:31" ht="12.75" customHeight="1" x14ac:dyDescent="0.2">
      <c r="A79" s="32">
        <v>5</v>
      </c>
      <c r="B79" s="33" t="s">
        <v>225</v>
      </c>
      <c r="C79" s="33" t="s">
        <v>471</v>
      </c>
      <c r="D79" s="100">
        <v>25.31</v>
      </c>
      <c r="E79" s="101">
        <v>1543.9839999999999</v>
      </c>
      <c r="F79" s="100">
        <v>7.03</v>
      </c>
      <c r="G79" s="100">
        <v>23995.29</v>
      </c>
      <c r="H79" s="83" t="s">
        <v>456</v>
      </c>
      <c r="I79" s="83" t="s">
        <v>482</v>
      </c>
      <c r="J79" s="33"/>
      <c r="K79" s="100">
        <v>1510</v>
      </c>
      <c r="L79" s="100">
        <v>2.4E-2</v>
      </c>
      <c r="M79" s="100">
        <v>0.108</v>
      </c>
      <c r="N79" s="101">
        <v>1543.9839999999999</v>
      </c>
      <c r="O79" s="83" t="s">
        <v>483</v>
      </c>
      <c r="P79" s="101">
        <v>1</v>
      </c>
      <c r="Q79" s="83" t="s">
        <v>484</v>
      </c>
      <c r="R79" s="83" t="s">
        <v>485</v>
      </c>
      <c r="S79" s="83" t="s">
        <v>486</v>
      </c>
      <c r="T79" s="83" t="s">
        <v>487</v>
      </c>
      <c r="U79" s="83" t="s">
        <v>488</v>
      </c>
      <c r="V79" s="83" t="s">
        <v>489</v>
      </c>
      <c r="W79" s="102">
        <v>0.188</v>
      </c>
      <c r="X79" s="100">
        <v>290.26899200000003</v>
      </c>
      <c r="Y79" s="8"/>
      <c r="Z79" s="101">
        <v>50</v>
      </c>
      <c r="AA79" s="83" t="s">
        <v>490</v>
      </c>
      <c r="AB79" s="8" t="s">
        <v>359</v>
      </c>
      <c r="AC79" s="83" t="s">
        <v>491</v>
      </c>
      <c r="AD79" s="100">
        <v>1770</v>
      </c>
      <c r="AE79" s="83" t="s">
        <v>456</v>
      </c>
    </row>
    <row r="80" spans="1:31" ht="12.75" customHeight="1" x14ac:dyDescent="0.2">
      <c r="A80" s="32">
        <v>6</v>
      </c>
      <c r="B80" s="33" t="s">
        <v>227</v>
      </c>
      <c r="C80" s="33" t="s">
        <v>471</v>
      </c>
      <c r="D80" s="100">
        <v>38.299999999999997</v>
      </c>
      <c r="E80" s="101">
        <v>2789.7930000000001</v>
      </c>
      <c r="F80" s="100">
        <v>10.64</v>
      </c>
      <c r="G80" s="100">
        <v>36310.53</v>
      </c>
      <c r="H80" s="83" t="s">
        <v>456</v>
      </c>
      <c r="I80" s="83" t="s">
        <v>492</v>
      </c>
      <c r="J80" s="33"/>
      <c r="K80" s="100">
        <v>2663</v>
      </c>
      <c r="L80" s="100">
        <v>0.13300000000000001</v>
      </c>
      <c r="M80" s="100">
        <v>0.4</v>
      </c>
      <c r="N80" s="101">
        <v>2789.7930000000001</v>
      </c>
      <c r="O80" s="83" t="s">
        <v>454</v>
      </c>
      <c r="P80" s="101">
        <v>1</v>
      </c>
      <c r="Q80" s="83" t="s">
        <v>493</v>
      </c>
      <c r="R80" s="83" t="s">
        <v>494</v>
      </c>
      <c r="S80" s="83" t="s">
        <v>495</v>
      </c>
      <c r="T80" s="83" t="s">
        <v>496</v>
      </c>
      <c r="U80" s="83" t="s">
        <v>497</v>
      </c>
      <c r="V80" s="83" t="s">
        <v>498</v>
      </c>
      <c r="W80" s="102">
        <v>0.107</v>
      </c>
      <c r="X80" s="100">
        <v>298.50785100000002</v>
      </c>
      <c r="Y80" s="8"/>
      <c r="Z80" s="101">
        <v>85</v>
      </c>
      <c r="AA80" s="83" t="s">
        <v>499</v>
      </c>
      <c r="AB80" s="8" t="s">
        <v>359</v>
      </c>
      <c r="AC80" s="83" t="s">
        <v>500</v>
      </c>
      <c r="AD80" s="100">
        <v>3300</v>
      </c>
      <c r="AE80" s="83" t="s">
        <v>456</v>
      </c>
    </row>
    <row r="81" spans="1:31" ht="12.75" customHeight="1" x14ac:dyDescent="0.2">
      <c r="A81" s="32">
        <v>7</v>
      </c>
      <c r="B81" s="33" t="s">
        <v>501</v>
      </c>
      <c r="C81" s="33" t="s">
        <v>471</v>
      </c>
      <c r="D81" s="100">
        <v>34.869999999999997</v>
      </c>
      <c r="E81" s="101">
        <v>2361.92</v>
      </c>
      <c r="F81" s="100">
        <v>9.69</v>
      </c>
      <c r="G81" s="100">
        <v>33058.699999999997</v>
      </c>
      <c r="H81" s="83" t="s">
        <v>456</v>
      </c>
      <c r="I81" s="83" t="s">
        <v>502</v>
      </c>
      <c r="J81" s="33"/>
      <c r="K81" s="100">
        <v>2289</v>
      </c>
      <c r="L81" s="100">
        <v>2.7</v>
      </c>
      <c r="M81" s="100">
        <v>0.05</v>
      </c>
      <c r="N81" s="101">
        <v>2361.1999999999998</v>
      </c>
      <c r="O81" s="83" t="s">
        <v>454</v>
      </c>
      <c r="P81" s="101">
        <v>1</v>
      </c>
      <c r="Q81" s="83" t="s">
        <v>493</v>
      </c>
      <c r="R81" s="83" t="s">
        <v>494</v>
      </c>
      <c r="S81" s="83" t="s">
        <v>495</v>
      </c>
      <c r="T81" s="83" t="s">
        <v>496</v>
      </c>
      <c r="U81" s="83" t="s">
        <v>497</v>
      </c>
      <c r="V81" s="83" t="s">
        <v>498</v>
      </c>
      <c r="W81" s="102">
        <v>0.17</v>
      </c>
      <c r="X81" s="100">
        <v>401.52640000000002</v>
      </c>
      <c r="Y81" s="8"/>
      <c r="Z81" s="101">
        <v>86</v>
      </c>
      <c r="AA81" s="83" t="s">
        <v>503</v>
      </c>
      <c r="AB81" s="8" t="s">
        <v>359</v>
      </c>
      <c r="AC81" s="83" t="s">
        <v>504</v>
      </c>
      <c r="AD81" s="100">
        <v>0</v>
      </c>
      <c r="AE81" s="83" t="s">
        <v>505</v>
      </c>
    </row>
    <row r="82" spans="1:31" ht="12.75" customHeight="1" x14ac:dyDescent="0.2">
      <c r="A82" s="32">
        <v>8</v>
      </c>
      <c r="B82" s="33" t="s">
        <v>506</v>
      </c>
      <c r="C82" s="33" t="s">
        <v>471</v>
      </c>
      <c r="D82" s="100">
        <v>33.520000000000003</v>
      </c>
      <c r="E82" s="101">
        <v>2459.5</v>
      </c>
      <c r="F82" s="100">
        <v>9.31</v>
      </c>
      <c r="G82" s="100">
        <v>31778.82</v>
      </c>
      <c r="H82" s="83" t="s">
        <v>456</v>
      </c>
      <c r="I82" s="83" t="s">
        <v>502</v>
      </c>
      <c r="J82" s="33"/>
      <c r="K82" s="100">
        <v>2342</v>
      </c>
      <c r="L82" s="100">
        <v>2.2000000000000002</v>
      </c>
      <c r="M82" s="100">
        <v>0.23</v>
      </c>
      <c r="N82" s="101">
        <v>2459.5</v>
      </c>
      <c r="O82" s="83" t="s">
        <v>454</v>
      </c>
      <c r="P82" s="101">
        <v>1</v>
      </c>
      <c r="Q82" s="83" t="s">
        <v>454</v>
      </c>
      <c r="R82" s="83" t="s">
        <v>454</v>
      </c>
      <c r="S82" s="83" t="s">
        <v>454</v>
      </c>
      <c r="T82" s="83" t="s">
        <v>454</v>
      </c>
      <c r="U82" s="83" t="s">
        <v>454</v>
      </c>
      <c r="V82" s="83" t="s">
        <v>454</v>
      </c>
      <c r="W82" s="102">
        <v>0.17</v>
      </c>
      <c r="X82" s="100">
        <v>418.11500000000001</v>
      </c>
      <c r="Y82" s="8"/>
      <c r="Z82" s="101">
        <v>92</v>
      </c>
      <c r="AA82" s="83" t="s">
        <v>507</v>
      </c>
      <c r="AB82" s="8" t="s">
        <v>359</v>
      </c>
      <c r="AC82" s="83" t="s">
        <v>508</v>
      </c>
      <c r="AD82" s="100">
        <v>2292.2800000000002</v>
      </c>
      <c r="AE82" s="83" t="s">
        <v>456</v>
      </c>
    </row>
    <row r="83" spans="1:31" ht="12.75" customHeight="1" x14ac:dyDescent="0.2">
      <c r="A83" s="32">
        <v>9</v>
      </c>
      <c r="B83" s="33" t="s">
        <v>509</v>
      </c>
      <c r="C83" s="33" t="s">
        <v>471</v>
      </c>
      <c r="D83" s="100">
        <v>37.4</v>
      </c>
      <c r="E83" s="101">
        <v>2606.98</v>
      </c>
      <c r="F83" s="100">
        <v>10.39</v>
      </c>
      <c r="G83" s="100">
        <v>35457.279999999999</v>
      </c>
      <c r="H83" s="83" t="s">
        <v>456</v>
      </c>
      <c r="I83" s="83" t="s">
        <v>454</v>
      </c>
      <c r="J83" s="33" t="s">
        <v>454</v>
      </c>
      <c r="K83" s="100">
        <v>2534</v>
      </c>
      <c r="L83" s="100">
        <v>0.08</v>
      </c>
      <c r="M83" s="100">
        <v>0.23</v>
      </c>
      <c r="N83" s="101">
        <v>2606.98</v>
      </c>
      <c r="O83" s="83" t="s">
        <v>454</v>
      </c>
      <c r="P83" s="101">
        <v>1</v>
      </c>
      <c r="Q83" s="83" t="s">
        <v>510</v>
      </c>
      <c r="R83" s="83" t="s">
        <v>511</v>
      </c>
      <c r="S83" s="83" t="s">
        <v>512</v>
      </c>
      <c r="T83" s="83" t="s">
        <v>513</v>
      </c>
      <c r="U83" s="83" t="s">
        <v>514</v>
      </c>
      <c r="V83" s="83" t="s">
        <v>515</v>
      </c>
      <c r="W83" s="102">
        <v>9.2999999999999999E-2</v>
      </c>
      <c r="X83" s="100">
        <v>242.44914</v>
      </c>
      <c r="Y83" s="8"/>
      <c r="Z83" s="101">
        <v>74</v>
      </c>
      <c r="AA83" s="83" t="s">
        <v>516</v>
      </c>
      <c r="AB83" s="8" t="s">
        <v>359</v>
      </c>
      <c r="AC83" s="83" t="s">
        <v>517</v>
      </c>
      <c r="AD83" s="100">
        <v>5</v>
      </c>
      <c r="AE83" s="83" t="s">
        <v>477</v>
      </c>
    </row>
    <row r="84" spans="1:31" ht="12.75" customHeight="1" x14ac:dyDescent="0.2">
      <c r="A84" s="32">
        <v>10</v>
      </c>
      <c r="B84" s="33" t="s">
        <v>518</v>
      </c>
      <c r="C84" s="33" t="s">
        <v>471</v>
      </c>
      <c r="D84" s="100">
        <v>37.68</v>
      </c>
      <c r="E84" s="101">
        <v>2543.7359999999999</v>
      </c>
      <c r="F84" s="100">
        <v>10.469443999999999</v>
      </c>
      <c r="G84" s="100">
        <v>35722.730000000003</v>
      </c>
      <c r="H84" s="83" t="s">
        <v>456</v>
      </c>
      <c r="I84" s="83" t="s">
        <v>454</v>
      </c>
      <c r="J84" s="33" t="s">
        <v>454</v>
      </c>
      <c r="K84" s="100">
        <v>2534</v>
      </c>
      <c r="L84" s="100">
        <v>6.0000000000000001E-3</v>
      </c>
      <c r="M84" s="100">
        <v>3.1E-2</v>
      </c>
      <c r="N84" s="101">
        <v>2543.7359999999999</v>
      </c>
      <c r="O84" s="83" t="s">
        <v>454</v>
      </c>
      <c r="P84" s="101">
        <v>1</v>
      </c>
      <c r="Q84" s="83" t="s">
        <v>454</v>
      </c>
      <c r="R84" s="83" t="s">
        <v>454</v>
      </c>
      <c r="S84" s="83" t="s">
        <v>454</v>
      </c>
      <c r="T84" s="83" t="s">
        <v>454</v>
      </c>
      <c r="U84" s="83" t="s">
        <v>454</v>
      </c>
      <c r="V84" s="83" t="s">
        <v>454</v>
      </c>
      <c r="W84" s="102">
        <v>9.2999999999999999E-2</v>
      </c>
      <c r="X84" s="100">
        <v>236.56744800000001</v>
      </c>
      <c r="Y84" s="8"/>
      <c r="Z84" s="101">
        <v>25</v>
      </c>
      <c r="AA84" s="83" t="s">
        <v>519</v>
      </c>
      <c r="AB84" s="8" t="s">
        <v>359</v>
      </c>
      <c r="AC84" s="83" t="s">
        <v>520</v>
      </c>
      <c r="AD84" s="100">
        <v>4750</v>
      </c>
      <c r="AE84" s="83" t="s">
        <v>477</v>
      </c>
    </row>
    <row r="85" spans="1:31" ht="12.75" customHeight="1" x14ac:dyDescent="0.2">
      <c r="A85" s="32">
        <v>11</v>
      </c>
      <c r="B85" s="33" t="s">
        <v>521</v>
      </c>
      <c r="C85" s="33" t="s">
        <v>471</v>
      </c>
      <c r="D85" s="100">
        <v>44.46</v>
      </c>
      <c r="E85" s="101">
        <v>1778.4</v>
      </c>
      <c r="F85" s="100">
        <v>12.35</v>
      </c>
      <c r="G85" s="100">
        <v>42150.55</v>
      </c>
      <c r="H85" s="83" t="s">
        <v>522</v>
      </c>
      <c r="I85" s="83" t="s">
        <v>454</v>
      </c>
      <c r="J85" s="33" t="s">
        <v>454</v>
      </c>
      <c r="K85" s="100">
        <v>1778.4</v>
      </c>
      <c r="L85" s="100" t="s">
        <v>454</v>
      </c>
      <c r="M85" s="100" t="s">
        <v>454</v>
      </c>
      <c r="N85" s="101">
        <v>1778.4</v>
      </c>
      <c r="O85" s="83" t="s">
        <v>454</v>
      </c>
      <c r="P85" s="101">
        <v>1</v>
      </c>
      <c r="Q85" s="83" t="s">
        <v>523</v>
      </c>
      <c r="R85" s="83" t="s">
        <v>524</v>
      </c>
      <c r="S85" s="83" t="s">
        <v>525</v>
      </c>
      <c r="T85" s="83" t="s">
        <v>526</v>
      </c>
      <c r="U85" s="83" t="s">
        <v>515</v>
      </c>
      <c r="V85" s="83" t="s">
        <v>527</v>
      </c>
      <c r="W85" s="102">
        <v>0.13700000000000001</v>
      </c>
      <c r="X85" s="100">
        <v>243.64080000000001</v>
      </c>
      <c r="Y85" s="8"/>
      <c r="Z85" s="101">
        <v>28</v>
      </c>
      <c r="AA85" s="83" t="s">
        <v>528</v>
      </c>
      <c r="AB85" s="8" t="s">
        <v>359</v>
      </c>
      <c r="AC85" s="83" t="s">
        <v>529</v>
      </c>
      <c r="AD85" s="100">
        <v>6130</v>
      </c>
      <c r="AE85" s="83" t="s">
        <v>477</v>
      </c>
    </row>
    <row r="86" spans="1:31" ht="12.75" customHeight="1" x14ac:dyDescent="0.2">
      <c r="A86" s="32">
        <v>12</v>
      </c>
      <c r="B86" s="33" t="s">
        <v>530</v>
      </c>
      <c r="C86" s="33" t="s">
        <v>471</v>
      </c>
      <c r="D86" s="100">
        <v>36.08</v>
      </c>
      <c r="E86" s="101">
        <v>1756.88</v>
      </c>
      <c r="F86" s="100">
        <v>10.02</v>
      </c>
      <c r="G86" s="100">
        <v>34205.839999999997</v>
      </c>
      <c r="H86" s="83" t="s">
        <v>456</v>
      </c>
      <c r="I86" s="83" t="s">
        <v>454</v>
      </c>
      <c r="J86" s="33" t="s">
        <v>454</v>
      </c>
      <c r="K86" s="100">
        <v>1750</v>
      </c>
      <c r="L86" s="100" t="s">
        <v>454</v>
      </c>
      <c r="M86" s="100">
        <v>2.2200000000000001E-2</v>
      </c>
      <c r="N86" s="101">
        <v>1756.88</v>
      </c>
      <c r="O86" s="83" t="s">
        <v>454</v>
      </c>
      <c r="P86" s="101">
        <v>1</v>
      </c>
      <c r="Q86" s="83" t="s">
        <v>531</v>
      </c>
      <c r="R86" s="83" t="s">
        <v>532</v>
      </c>
      <c r="S86" s="83" t="s">
        <v>533</v>
      </c>
      <c r="T86" s="83" t="s">
        <v>534</v>
      </c>
      <c r="U86" s="83" t="s">
        <v>535</v>
      </c>
      <c r="V86" s="83" t="s">
        <v>536</v>
      </c>
      <c r="W86" s="102">
        <v>0.188</v>
      </c>
      <c r="X86" s="100">
        <v>329.00112799999999</v>
      </c>
      <c r="Y86" s="8"/>
      <c r="Z86" s="101">
        <v>29</v>
      </c>
      <c r="AA86" s="83" t="s">
        <v>537</v>
      </c>
      <c r="AB86" s="8" t="s">
        <v>359</v>
      </c>
      <c r="AC86" s="83" t="s">
        <v>538</v>
      </c>
      <c r="AD86" s="100">
        <v>10000</v>
      </c>
      <c r="AE86" s="83" t="s">
        <v>477</v>
      </c>
    </row>
    <row r="87" spans="1:31" ht="12.75" customHeight="1" x14ac:dyDescent="0.2">
      <c r="A87" s="32">
        <v>16</v>
      </c>
      <c r="B87" s="33" t="s">
        <v>539</v>
      </c>
      <c r="C87" s="33" t="s">
        <v>359</v>
      </c>
      <c r="D87" s="100">
        <v>15</v>
      </c>
      <c r="E87" s="101">
        <v>1486.83</v>
      </c>
      <c r="F87" s="100">
        <v>4.17</v>
      </c>
      <c r="G87" s="100">
        <v>14220.83</v>
      </c>
      <c r="H87" s="83" t="s">
        <v>456</v>
      </c>
      <c r="I87" s="83" t="s">
        <v>454</v>
      </c>
      <c r="J87" s="33" t="s">
        <v>454</v>
      </c>
      <c r="K87" s="100">
        <v>1480</v>
      </c>
      <c r="L87" s="100">
        <v>0.03</v>
      </c>
      <c r="M87" s="100">
        <v>0.02</v>
      </c>
      <c r="N87" s="101">
        <v>1486.83</v>
      </c>
      <c r="O87" s="83" t="s">
        <v>454</v>
      </c>
      <c r="P87" s="101">
        <v>1</v>
      </c>
      <c r="Q87" s="83" t="s">
        <v>540</v>
      </c>
      <c r="R87" s="83" t="s">
        <v>541</v>
      </c>
      <c r="S87" s="83" t="s">
        <v>542</v>
      </c>
      <c r="T87" s="83" t="s">
        <v>543</v>
      </c>
      <c r="U87" s="83" t="s">
        <v>544</v>
      </c>
      <c r="V87" s="83" t="s">
        <v>545</v>
      </c>
      <c r="W87" s="102">
        <v>0.08</v>
      </c>
      <c r="X87" s="100">
        <v>118.9464</v>
      </c>
      <c r="Y87" s="8"/>
      <c r="Z87" s="101">
        <v>30</v>
      </c>
      <c r="AA87" s="83" t="s">
        <v>546</v>
      </c>
      <c r="AB87" s="8" t="s">
        <v>359</v>
      </c>
      <c r="AC87" s="83" t="s">
        <v>547</v>
      </c>
      <c r="AD87" s="100">
        <v>7370</v>
      </c>
      <c r="AE87" s="83" t="s">
        <v>477</v>
      </c>
    </row>
    <row r="88" spans="1:31" ht="12.75" customHeight="1" x14ac:dyDescent="0.2">
      <c r="A88" s="32">
        <v>19</v>
      </c>
      <c r="B88" s="33" t="s">
        <v>548</v>
      </c>
      <c r="C88" s="33" t="s">
        <v>471</v>
      </c>
      <c r="D88" s="100">
        <v>28.44</v>
      </c>
      <c r="E88" s="101">
        <v>1763.9839999999999</v>
      </c>
      <c r="F88" s="100">
        <v>7.9</v>
      </c>
      <c r="G88" s="100">
        <v>26962.7</v>
      </c>
      <c r="H88" s="83" t="s">
        <v>456</v>
      </c>
      <c r="I88" s="83" t="s">
        <v>454</v>
      </c>
      <c r="J88" s="33" t="s">
        <v>454</v>
      </c>
      <c r="K88" s="100">
        <v>1730</v>
      </c>
      <c r="L88" s="100">
        <v>2.4E-2</v>
      </c>
      <c r="M88" s="100">
        <v>0.108</v>
      </c>
      <c r="N88" s="101">
        <v>1763.9839999999999</v>
      </c>
      <c r="O88" s="83" t="s">
        <v>454</v>
      </c>
      <c r="P88" s="101">
        <v>1</v>
      </c>
      <c r="Q88" s="83" t="s">
        <v>454</v>
      </c>
      <c r="R88" s="83" t="s">
        <v>454</v>
      </c>
      <c r="S88" s="83" t="s">
        <v>454</v>
      </c>
      <c r="T88" s="83" t="s">
        <v>454</v>
      </c>
      <c r="U88" s="83" t="s">
        <v>454</v>
      </c>
      <c r="V88" s="83" t="s">
        <v>454</v>
      </c>
      <c r="W88" s="102">
        <v>0.188</v>
      </c>
      <c r="X88" s="100">
        <v>331.62899199999998</v>
      </c>
      <c r="Y88" s="8"/>
      <c r="Z88" s="101">
        <v>26</v>
      </c>
      <c r="AA88" s="83" t="s">
        <v>549</v>
      </c>
      <c r="AB88" s="8" t="s">
        <v>359</v>
      </c>
      <c r="AC88" s="83" t="s">
        <v>550</v>
      </c>
      <c r="AD88" s="100">
        <v>10900</v>
      </c>
      <c r="AE88" s="83" t="s">
        <v>477</v>
      </c>
    </row>
    <row r="89" spans="1:31" ht="12.75" customHeight="1" x14ac:dyDescent="0.2">
      <c r="A89" s="32">
        <v>20</v>
      </c>
      <c r="B89" s="33" t="s">
        <v>551</v>
      </c>
      <c r="C89" s="33" t="s">
        <v>471</v>
      </c>
      <c r="D89" s="100">
        <v>17.22</v>
      </c>
      <c r="E89" s="101">
        <v>976</v>
      </c>
      <c r="F89" s="100">
        <v>4.78</v>
      </c>
      <c r="G89" s="100">
        <v>16325.52</v>
      </c>
      <c r="H89" s="83" t="s">
        <v>456</v>
      </c>
      <c r="I89" s="83" t="s">
        <v>454</v>
      </c>
      <c r="J89" s="33" t="s">
        <v>454</v>
      </c>
      <c r="K89" s="100">
        <v>976</v>
      </c>
      <c r="L89" s="100" t="s">
        <v>454</v>
      </c>
      <c r="M89" s="100" t="s">
        <v>454</v>
      </c>
      <c r="N89" s="101">
        <v>976</v>
      </c>
      <c r="O89" s="83" t="s">
        <v>454</v>
      </c>
      <c r="P89" s="101">
        <v>1</v>
      </c>
      <c r="Q89" s="83" t="s">
        <v>454</v>
      </c>
      <c r="R89" s="83" t="s">
        <v>454</v>
      </c>
      <c r="S89" s="83" t="s">
        <v>454</v>
      </c>
      <c r="T89" s="83" t="s">
        <v>454</v>
      </c>
      <c r="U89" s="83" t="s">
        <v>454</v>
      </c>
      <c r="V89" s="83" t="s">
        <v>454</v>
      </c>
      <c r="W89" s="102">
        <v>9.2999999999999999E-2</v>
      </c>
      <c r="X89" s="100">
        <v>90.768000000000001</v>
      </c>
      <c r="Y89" s="8"/>
      <c r="Z89" s="101">
        <v>27</v>
      </c>
      <c r="AA89" s="83" t="s">
        <v>552</v>
      </c>
      <c r="AB89" s="8" t="s">
        <v>359</v>
      </c>
      <c r="AC89" s="83" t="s">
        <v>553</v>
      </c>
      <c r="AD89" s="100">
        <v>14400</v>
      </c>
      <c r="AE89" s="83" t="s">
        <v>477</v>
      </c>
    </row>
    <row r="90" spans="1:31" ht="12.75" customHeight="1" x14ac:dyDescent="0.2">
      <c r="A90" s="32">
        <v>21</v>
      </c>
      <c r="B90" s="33" t="s">
        <v>554</v>
      </c>
      <c r="C90" s="33" t="s">
        <v>359</v>
      </c>
      <c r="D90" s="100">
        <v>28.83</v>
      </c>
      <c r="E90" s="101">
        <v>2486.83</v>
      </c>
      <c r="F90" s="100">
        <v>8.0083333329999995</v>
      </c>
      <c r="G90" s="100">
        <v>27332.44167</v>
      </c>
      <c r="H90" s="83" t="s">
        <v>555</v>
      </c>
      <c r="I90" s="83" t="s">
        <v>454</v>
      </c>
      <c r="J90" s="33" t="s">
        <v>454</v>
      </c>
      <c r="K90" s="100">
        <v>2480</v>
      </c>
      <c r="L90" s="100">
        <v>0.03</v>
      </c>
      <c r="M90" s="100">
        <v>0.02</v>
      </c>
      <c r="N90" s="101">
        <v>2486.83</v>
      </c>
      <c r="O90" s="83" t="s">
        <v>454</v>
      </c>
      <c r="P90" s="101">
        <v>1</v>
      </c>
      <c r="Q90" s="83" t="s">
        <v>556</v>
      </c>
      <c r="R90" s="83" t="s">
        <v>557</v>
      </c>
      <c r="S90" s="83" t="s">
        <v>558</v>
      </c>
      <c r="T90" s="83" t="s">
        <v>559</v>
      </c>
      <c r="U90" s="83" t="s">
        <v>560</v>
      </c>
      <c r="V90" s="83" t="s">
        <v>561</v>
      </c>
      <c r="W90" s="102">
        <v>0.08</v>
      </c>
      <c r="X90" s="100">
        <v>198.94640000000001</v>
      </c>
      <c r="Y90" s="8"/>
      <c r="Z90" s="101">
        <v>38</v>
      </c>
      <c r="AA90" s="83" t="s">
        <v>562</v>
      </c>
      <c r="AB90" s="8" t="s">
        <v>359</v>
      </c>
      <c r="AC90" s="83" t="s">
        <v>563</v>
      </c>
      <c r="AD90" s="100">
        <v>7140</v>
      </c>
      <c r="AE90" s="83" t="s">
        <v>477</v>
      </c>
    </row>
    <row r="91" spans="1:31" ht="12.75" customHeight="1" x14ac:dyDescent="0.2">
      <c r="A91" s="32">
        <v>22</v>
      </c>
      <c r="B91" s="33" t="s">
        <v>564</v>
      </c>
      <c r="C91" s="33" t="s">
        <v>359</v>
      </c>
      <c r="D91" s="100">
        <v>46.35</v>
      </c>
      <c r="E91" s="101">
        <v>3836.7350000000001</v>
      </c>
      <c r="F91" s="100">
        <v>12.88</v>
      </c>
      <c r="G91" s="100">
        <v>43942.38</v>
      </c>
      <c r="H91" s="83" t="s">
        <v>456</v>
      </c>
      <c r="I91" s="83" t="s">
        <v>454</v>
      </c>
      <c r="J91" s="33" t="s">
        <v>454</v>
      </c>
      <c r="K91" s="100">
        <v>3826</v>
      </c>
      <c r="L91" s="100">
        <v>0.12</v>
      </c>
      <c r="M91" s="100">
        <v>2.6499999999999999E-2</v>
      </c>
      <c r="N91" s="101">
        <v>3836.7350000000001</v>
      </c>
      <c r="O91" s="83" t="s">
        <v>454</v>
      </c>
      <c r="P91" s="101">
        <v>1</v>
      </c>
      <c r="Q91" s="83" t="s">
        <v>565</v>
      </c>
      <c r="R91" s="83" t="s">
        <v>566</v>
      </c>
      <c r="S91" s="83" t="s">
        <v>567</v>
      </c>
      <c r="T91" s="83" t="s">
        <v>568</v>
      </c>
      <c r="U91" s="83" t="s">
        <v>569</v>
      </c>
      <c r="V91" s="83" t="s">
        <v>545</v>
      </c>
      <c r="W91" s="102">
        <v>0.08</v>
      </c>
      <c r="X91" s="100">
        <v>306.93880000000001</v>
      </c>
      <c r="Y91" s="8"/>
      <c r="Z91" s="101">
        <v>83</v>
      </c>
      <c r="AA91" s="83" t="s">
        <v>570</v>
      </c>
      <c r="AB91" s="8" t="s">
        <v>359</v>
      </c>
      <c r="AC91" s="83" t="s">
        <v>571</v>
      </c>
      <c r="AD91" s="100">
        <v>1890</v>
      </c>
      <c r="AE91" s="83" t="s">
        <v>477</v>
      </c>
    </row>
    <row r="92" spans="1:31" ht="12.75" customHeight="1" x14ac:dyDescent="0.2">
      <c r="A92" s="32">
        <v>23</v>
      </c>
      <c r="B92" s="33" t="s">
        <v>572</v>
      </c>
      <c r="C92" s="33" t="s">
        <v>359</v>
      </c>
      <c r="D92" s="100">
        <v>27.599910999999999</v>
      </c>
      <c r="E92" s="101">
        <v>35.966000000000001</v>
      </c>
      <c r="F92" s="100">
        <v>7.6666419000000001</v>
      </c>
      <c r="G92" s="100">
        <v>26166.248</v>
      </c>
      <c r="H92" s="83" t="s">
        <v>573</v>
      </c>
      <c r="I92" s="83" t="s">
        <v>454</v>
      </c>
      <c r="J92" s="33" t="s">
        <v>454</v>
      </c>
      <c r="K92" s="100">
        <v>3190</v>
      </c>
      <c r="L92" s="100">
        <v>0.57599999999999996</v>
      </c>
      <c r="M92" s="100">
        <v>7.6999999999999999E-2</v>
      </c>
      <c r="N92" s="101">
        <v>3231.9659999999999</v>
      </c>
      <c r="O92" s="83" t="s">
        <v>454</v>
      </c>
      <c r="P92" s="101">
        <v>1</v>
      </c>
      <c r="Q92" s="83" t="s">
        <v>574</v>
      </c>
      <c r="R92" s="83" t="s">
        <v>575</v>
      </c>
      <c r="S92" s="83" t="s">
        <v>576</v>
      </c>
      <c r="T92" s="83" t="s">
        <v>577</v>
      </c>
      <c r="U92" s="83" t="s">
        <v>578</v>
      </c>
      <c r="V92" s="83" t="s">
        <v>579</v>
      </c>
      <c r="W92" s="102">
        <v>0</v>
      </c>
      <c r="X92" s="100">
        <v>0</v>
      </c>
      <c r="Y92" s="8"/>
      <c r="Z92" s="101">
        <v>84</v>
      </c>
      <c r="AA92" s="83" t="s">
        <v>580</v>
      </c>
      <c r="AB92" s="8" t="s">
        <v>359</v>
      </c>
      <c r="AC92" s="83" t="s">
        <v>581</v>
      </c>
      <c r="AD92" s="100">
        <v>1640</v>
      </c>
      <c r="AE92" s="83" t="s">
        <v>477</v>
      </c>
    </row>
    <row r="93" spans="1:31" ht="12.75" customHeight="1" x14ac:dyDescent="0.2">
      <c r="A93" s="32">
        <v>26</v>
      </c>
      <c r="B93" s="33" t="s">
        <v>582</v>
      </c>
      <c r="C93" s="33" t="s">
        <v>359</v>
      </c>
      <c r="D93" s="100">
        <v>14.2</v>
      </c>
      <c r="E93" s="101">
        <v>9.2309999999999999</v>
      </c>
      <c r="F93" s="100">
        <v>3.94</v>
      </c>
      <c r="G93" s="100">
        <v>13462.39</v>
      </c>
      <c r="H93" s="83" t="s">
        <v>456</v>
      </c>
      <c r="I93" s="83" t="s">
        <v>454</v>
      </c>
      <c r="J93" s="33" t="s">
        <v>454</v>
      </c>
      <c r="K93" s="100">
        <v>1304</v>
      </c>
      <c r="L93" s="100">
        <v>4.1000000000000002E-2</v>
      </c>
      <c r="M93" s="100">
        <v>2.7E-2</v>
      </c>
      <c r="N93" s="101">
        <v>1313.23</v>
      </c>
      <c r="O93" s="83" t="s">
        <v>454</v>
      </c>
      <c r="P93" s="101">
        <v>2</v>
      </c>
      <c r="Q93" s="83" t="s">
        <v>454</v>
      </c>
      <c r="R93" s="83" t="s">
        <v>454</v>
      </c>
      <c r="S93" s="83" t="s">
        <v>454</v>
      </c>
      <c r="T93" s="83" t="s">
        <v>583</v>
      </c>
      <c r="U93" s="83" t="s">
        <v>526</v>
      </c>
      <c r="V93" s="83" t="s">
        <v>584</v>
      </c>
      <c r="W93" s="102">
        <v>0</v>
      </c>
      <c r="X93" s="100">
        <v>0</v>
      </c>
      <c r="Y93" s="8"/>
      <c r="Z93" s="101">
        <v>32</v>
      </c>
      <c r="AA93" s="83" t="s">
        <v>585</v>
      </c>
      <c r="AB93" s="8" t="s">
        <v>359</v>
      </c>
      <c r="AC93" s="83" t="s">
        <v>586</v>
      </c>
      <c r="AD93" s="100">
        <v>77</v>
      </c>
      <c r="AE93" s="83" t="s">
        <v>477</v>
      </c>
    </row>
    <row r="94" spans="1:31" ht="12.75" customHeight="1" x14ac:dyDescent="0.2">
      <c r="A94" s="32">
        <v>29</v>
      </c>
      <c r="B94" s="33" t="s">
        <v>587</v>
      </c>
      <c r="C94" s="33" t="s">
        <v>451</v>
      </c>
      <c r="D94" s="100">
        <v>3.6</v>
      </c>
      <c r="E94" s="101" t="s">
        <v>454</v>
      </c>
      <c r="F94" s="100">
        <v>1</v>
      </c>
      <c r="G94" s="100">
        <v>3413</v>
      </c>
      <c r="H94" s="83" t="s">
        <v>454</v>
      </c>
      <c r="I94" s="83" t="s">
        <v>454</v>
      </c>
      <c r="J94" s="33" t="s">
        <v>454</v>
      </c>
      <c r="K94" s="100" t="s">
        <v>454</v>
      </c>
      <c r="L94" s="100" t="s">
        <v>454</v>
      </c>
      <c r="M94" s="100" t="s">
        <v>454</v>
      </c>
      <c r="N94" s="101" t="s">
        <v>454</v>
      </c>
      <c r="O94" s="83" t="s">
        <v>454</v>
      </c>
      <c r="P94" s="101">
        <v>0</v>
      </c>
      <c r="Q94" s="83" t="s">
        <v>454</v>
      </c>
      <c r="R94" s="83" t="s">
        <v>454</v>
      </c>
      <c r="S94" s="83" t="s">
        <v>454</v>
      </c>
      <c r="T94" s="83" t="s">
        <v>454</v>
      </c>
      <c r="U94" s="83" t="s">
        <v>454</v>
      </c>
      <c r="V94" s="83" t="s">
        <v>454</v>
      </c>
      <c r="W94" s="102">
        <v>0</v>
      </c>
      <c r="X94" s="100">
        <v>0</v>
      </c>
      <c r="Y94" s="8"/>
      <c r="Z94" s="101">
        <v>33</v>
      </c>
      <c r="AA94" s="83" t="s">
        <v>588</v>
      </c>
      <c r="AB94" s="8" t="s">
        <v>359</v>
      </c>
      <c r="AC94" s="83" t="s">
        <v>589</v>
      </c>
      <c r="AD94" s="100">
        <v>609</v>
      </c>
      <c r="AE94" s="83" t="s">
        <v>477</v>
      </c>
    </row>
    <row r="95" spans="1:31" ht="12.75" customHeight="1" x14ac:dyDescent="0.2">
      <c r="A95" s="32">
        <v>30</v>
      </c>
      <c r="B95" s="33" t="s">
        <v>208</v>
      </c>
      <c r="C95" s="33" t="s">
        <v>590</v>
      </c>
      <c r="D95" s="100">
        <v>1000</v>
      </c>
      <c r="E95" s="101">
        <v>0</v>
      </c>
      <c r="F95" s="100">
        <v>277.77777700000001</v>
      </c>
      <c r="G95" s="100">
        <v>948055.52</v>
      </c>
      <c r="H95" s="83" t="s">
        <v>454</v>
      </c>
      <c r="I95" s="83" t="s">
        <v>454</v>
      </c>
      <c r="J95" s="33" t="s">
        <v>454</v>
      </c>
      <c r="K95" s="100" t="s">
        <v>454</v>
      </c>
      <c r="L95" s="100" t="s">
        <v>454</v>
      </c>
      <c r="M95" s="100" t="s">
        <v>454</v>
      </c>
      <c r="N95" s="101" t="s">
        <v>454</v>
      </c>
      <c r="O95" s="83" t="s">
        <v>454</v>
      </c>
      <c r="P95" s="101">
        <v>0</v>
      </c>
      <c r="Q95" s="83" t="s">
        <v>454</v>
      </c>
      <c r="R95" s="83" t="s">
        <v>454</v>
      </c>
      <c r="S95" s="83" t="s">
        <v>454</v>
      </c>
      <c r="T95" s="83" t="s">
        <v>454</v>
      </c>
      <c r="U95" s="83" t="s">
        <v>454</v>
      </c>
      <c r="V95" s="83" t="s">
        <v>454</v>
      </c>
      <c r="W95" s="102">
        <v>0</v>
      </c>
      <c r="X95" s="100">
        <v>0</v>
      </c>
      <c r="Y95" s="8"/>
      <c r="Z95" s="101">
        <v>34</v>
      </c>
      <c r="AA95" s="83" t="s">
        <v>591</v>
      </c>
      <c r="AB95" s="8" t="s">
        <v>359</v>
      </c>
      <c r="AC95" s="83" t="s">
        <v>592</v>
      </c>
      <c r="AD95" s="100">
        <v>725</v>
      </c>
      <c r="AE95" s="83" t="s">
        <v>477</v>
      </c>
    </row>
    <row r="96" spans="1:31" ht="12.75" customHeight="1" x14ac:dyDescent="0.2">
      <c r="A96" s="32">
        <v>31</v>
      </c>
      <c r="B96" s="33" t="s">
        <v>593</v>
      </c>
      <c r="C96" s="33" t="s">
        <v>594</v>
      </c>
      <c r="D96" s="100">
        <v>1.0547902</v>
      </c>
      <c r="E96" s="101">
        <v>0</v>
      </c>
      <c r="F96" s="100">
        <v>0.29299730000000002</v>
      </c>
      <c r="G96" s="100">
        <v>1000</v>
      </c>
      <c r="H96" s="83" t="s">
        <v>454</v>
      </c>
      <c r="I96" s="83" t="s">
        <v>454</v>
      </c>
      <c r="J96" s="33" t="s">
        <v>454</v>
      </c>
      <c r="K96" s="100" t="s">
        <v>454</v>
      </c>
      <c r="L96" s="100" t="s">
        <v>454</v>
      </c>
      <c r="M96" s="100" t="s">
        <v>454</v>
      </c>
      <c r="N96" s="101" t="s">
        <v>454</v>
      </c>
      <c r="O96" s="83" t="s">
        <v>454</v>
      </c>
      <c r="P96" s="101">
        <v>0</v>
      </c>
      <c r="Q96" s="83" t="s">
        <v>454</v>
      </c>
      <c r="R96" s="83" t="s">
        <v>454</v>
      </c>
      <c r="S96" s="83" t="s">
        <v>454</v>
      </c>
      <c r="T96" s="83" t="s">
        <v>454</v>
      </c>
      <c r="U96" s="83" t="s">
        <v>454</v>
      </c>
      <c r="V96" s="83" t="s">
        <v>454</v>
      </c>
      <c r="W96" s="102">
        <v>0</v>
      </c>
      <c r="X96" s="100">
        <v>0</v>
      </c>
      <c r="Y96" s="8"/>
      <c r="Z96" s="101">
        <v>35</v>
      </c>
      <c r="AA96" s="83" t="s">
        <v>595</v>
      </c>
      <c r="AB96" s="8" t="s">
        <v>359</v>
      </c>
      <c r="AC96" s="83" t="s">
        <v>596</v>
      </c>
      <c r="AD96" s="100">
        <v>2310</v>
      </c>
      <c r="AE96" s="83" t="s">
        <v>477</v>
      </c>
    </row>
    <row r="97" spans="1:31" ht="12.75" customHeight="1" x14ac:dyDescent="0.2">
      <c r="A97" s="32">
        <v>36</v>
      </c>
      <c r="B97" s="33" t="s">
        <v>597</v>
      </c>
      <c r="C97" s="33" t="s">
        <v>359</v>
      </c>
      <c r="D97" s="100">
        <v>14.77</v>
      </c>
      <c r="E97" s="101">
        <v>35.966000000000001</v>
      </c>
      <c r="F97" s="100">
        <v>4.0999999999999996</v>
      </c>
      <c r="G97" s="100">
        <v>14002.74</v>
      </c>
      <c r="H97" s="83" t="s">
        <v>456</v>
      </c>
      <c r="I97" s="83" t="s">
        <v>454</v>
      </c>
      <c r="J97" s="33">
        <v>1</v>
      </c>
      <c r="K97" s="100">
        <v>1799</v>
      </c>
      <c r="L97" s="100">
        <v>0.57599999999999996</v>
      </c>
      <c r="M97" s="100">
        <v>7.6999999999999999E-2</v>
      </c>
      <c r="N97" s="101">
        <v>1834.97</v>
      </c>
      <c r="O97" s="83" t="s">
        <v>454</v>
      </c>
      <c r="P97" s="101">
        <v>2</v>
      </c>
      <c r="Q97" s="83" t="s">
        <v>598</v>
      </c>
      <c r="R97" s="83" t="s">
        <v>599</v>
      </c>
      <c r="S97" s="83" t="s">
        <v>380</v>
      </c>
      <c r="T97" s="83" t="s">
        <v>577</v>
      </c>
      <c r="U97" s="83" t="s">
        <v>578</v>
      </c>
      <c r="V97" s="83" t="s">
        <v>579</v>
      </c>
      <c r="W97" s="102">
        <v>0</v>
      </c>
      <c r="X97" s="100">
        <v>0</v>
      </c>
      <c r="Y97" s="8"/>
      <c r="Z97" s="101">
        <v>36</v>
      </c>
      <c r="AA97" s="83" t="s">
        <v>600</v>
      </c>
      <c r="AB97" s="8" t="s">
        <v>359</v>
      </c>
      <c r="AC97" s="83" t="s">
        <v>601</v>
      </c>
      <c r="AD97" s="100">
        <v>122</v>
      </c>
      <c r="AE97" s="83" t="s">
        <v>477</v>
      </c>
    </row>
    <row r="98" spans="1:31" ht="12.75" customHeight="1" x14ac:dyDescent="0.2">
      <c r="A98">
        <v>59</v>
      </c>
      <c r="B98" t="s">
        <v>602</v>
      </c>
      <c r="C98" t="s">
        <v>359</v>
      </c>
      <c r="D98" s="8">
        <v>20</v>
      </c>
      <c r="E98" s="8">
        <v>35.966000000000001</v>
      </c>
      <c r="F98" s="8">
        <v>5.5555554999999996</v>
      </c>
      <c r="G98" s="8">
        <v>18960.955555500001</v>
      </c>
      <c r="H98" s="8" t="s">
        <v>603</v>
      </c>
      <c r="I98" s="8"/>
      <c r="J98">
        <v>1</v>
      </c>
      <c r="K98" s="8">
        <v>1799</v>
      </c>
      <c r="L98" s="8">
        <v>0.57599999999999996</v>
      </c>
      <c r="M98" s="8">
        <v>7.6999999999999999E-2</v>
      </c>
      <c r="N98" s="8">
        <v>1834.97</v>
      </c>
      <c r="O98" s="8"/>
      <c r="P98" s="8">
        <v>2</v>
      </c>
      <c r="Q98" s="8"/>
      <c r="R98" s="8"/>
      <c r="S98" s="8"/>
      <c r="T98" s="8"/>
      <c r="U98" s="8"/>
      <c r="V98" s="8"/>
      <c r="W98" s="8">
        <v>0</v>
      </c>
      <c r="X98" s="8">
        <v>0</v>
      </c>
      <c r="Y98" s="8"/>
      <c r="Z98" s="101">
        <v>37</v>
      </c>
      <c r="AA98" s="83" t="s">
        <v>604</v>
      </c>
      <c r="AB98" s="8" t="s">
        <v>359</v>
      </c>
      <c r="AC98" s="83" t="s">
        <v>605</v>
      </c>
      <c r="AD98" s="100">
        <v>595</v>
      </c>
      <c r="AE98" s="83" t="s">
        <v>477</v>
      </c>
    </row>
    <row r="99" spans="1:31" ht="12.75" customHeight="1" x14ac:dyDescent="0.2">
      <c r="A99" s="32">
        <v>37</v>
      </c>
      <c r="B99" s="33" t="s">
        <v>606</v>
      </c>
      <c r="C99" s="33" t="s">
        <v>458</v>
      </c>
      <c r="D99" s="100">
        <v>43.24</v>
      </c>
      <c r="E99" s="101">
        <v>2146.88</v>
      </c>
      <c r="F99" s="100">
        <v>12.01</v>
      </c>
      <c r="G99" s="100">
        <v>40993.919999999998</v>
      </c>
      <c r="H99" s="83" t="s">
        <v>456</v>
      </c>
      <c r="I99" s="83" t="s">
        <v>454</v>
      </c>
      <c r="J99" s="33" t="s">
        <v>454</v>
      </c>
      <c r="K99" s="100">
        <v>2140</v>
      </c>
      <c r="L99" s="100">
        <v>0</v>
      </c>
      <c r="M99" s="100">
        <v>2.2200000000000001E-2</v>
      </c>
      <c r="N99" s="101">
        <v>2146.88</v>
      </c>
      <c r="O99" s="83" t="s">
        <v>454</v>
      </c>
      <c r="P99" s="101">
        <v>1</v>
      </c>
      <c r="Q99" s="83" t="s">
        <v>454</v>
      </c>
      <c r="R99" s="83" t="s">
        <v>454</v>
      </c>
      <c r="S99" s="83" t="s">
        <v>454</v>
      </c>
      <c r="T99" s="83" t="s">
        <v>534</v>
      </c>
      <c r="U99" s="83" t="s">
        <v>535</v>
      </c>
      <c r="V99" s="83" t="s">
        <v>536</v>
      </c>
      <c r="W99" s="102">
        <v>0.188</v>
      </c>
      <c r="X99" s="100">
        <v>329.00131599999997</v>
      </c>
      <c r="Y99" s="8"/>
      <c r="Z99" s="101">
        <v>24</v>
      </c>
      <c r="AA99" s="83" t="s">
        <v>607</v>
      </c>
      <c r="AB99" s="8" t="s">
        <v>359</v>
      </c>
      <c r="AC99" s="83" t="s">
        <v>608</v>
      </c>
      <c r="AD99" s="100">
        <v>23900</v>
      </c>
      <c r="AE99" s="83" t="s">
        <v>456</v>
      </c>
    </row>
    <row r="100" spans="1:31" ht="12.75" customHeight="1" x14ac:dyDescent="0.2">
      <c r="A100" s="32">
        <v>39</v>
      </c>
      <c r="B100" s="33" t="s">
        <v>609</v>
      </c>
      <c r="C100" s="33" t="s">
        <v>359</v>
      </c>
      <c r="D100" s="100">
        <v>16.72</v>
      </c>
      <c r="E100" s="101">
        <v>714.94719999999995</v>
      </c>
      <c r="F100" s="100">
        <v>4.644444</v>
      </c>
      <c r="G100" s="100">
        <v>15851.488890000001</v>
      </c>
      <c r="H100" s="83" t="s">
        <v>610</v>
      </c>
      <c r="I100" s="83" t="s">
        <v>454</v>
      </c>
      <c r="J100" s="33" t="s">
        <v>454</v>
      </c>
      <c r="K100" s="100">
        <v>715.94719999999995</v>
      </c>
      <c r="L100" s="100">
        <v>0</v>
      </c>
      <c r="M100" s="100">
        <v>0</v>
      </c>
      <c r="N100" s="101">
        <v>714.94719999999995</v>
      </c>
      <c r="O100" s="83" t="s">
        <v>454</v>
      </c>
      <c r="P100" s="101">
        <v>1</v>
      </c>
      <c r="Q100" s="83" t="s">
        <v>454</v>
      </c>
      <c r="R100" s="83" t="s">
        <v>454</v>
      </c>
      <c r="S100" s="83" t="s">
        <v>454</v>
      </c>
      <c r="T100" s="83" t="s">
        <v>611</v>
      </c>
      <c r="U100" s="83" t="s">
        <v>454</v>
      </c>
      <c r="V100" s="83" t="s">
        <v>454</v>
      </c>
      <c r="W100" s="102">
        <v>0</v>
      </c>
      <c r="X100" s="100">
        <v>0</v>
      </c>
      <c r="Y100" s="8"/>
      <c r="Z100" s="101">
        <v>8</v>
      </c>
      <c r="AA100" s="83" t="s">
        <v>612</v>
      </c>
      <c r="AB100" s="8" t="s">
        <v>359</v>
      </c>
      <c r="AC100" s="83" t="s">
        <v>613</v>
      </c>
      <c r="AD100" s="100">
        <v>2800</v>
      </c>
      <c r="AE100" s="83" t="s">
        <v>456</v>
      </c>
    </row>
    <row r="101" spans="1:31" ht="12.75" customHeight="1" x14ac:dyDescent="0.2">
      <c r="A101" s="32">
        <v>40</v>
      </c>
      <c r="B101" s="33" t="s">
        <v>614</v>
      </c>
      <c r="C101" s="33" t="s">
        <v>471</v>
      </c>
      <c r="D101" s="100">
        <v>39.159999999999997</v>
      </c>
      <c r="E101" s="101">
        <v>2422.36</v>
      </c>
      <c r="F101" s="100">
        <v>10.877777777777776</v>
      </c>
      <c r="G101" s="100">
        <v>37125.85555555555</v>
      </c>
      <c r="H101" s="83" t="s">
        <v>456</v>
      </c>
      <c r="I101" s="83" t="s">
        <v>454</v>
      </c>
      <c r="J101" s="33" t="s">
        <v>454</v>
      </c>
      <c r="K101" s="100">
        <v>2400</v>
      </c>
      <c r="L101" s="100">
        <v>0.12</v>
      </c>
      <c r="M101" s="100">
        <v>6.4000000000000001E-2</v>
      </c>
      <c r="N101" s="101">
        <v>2422.36</v>
      </c>
      <c r="O101" s="83" t="s">
        <v>454</v>
      </c>
      <c r="P101" s="101">
        <v>1</v>
      </c>
      <c r="Q101" s="83" t="s">
        <v>454</v>
      </c>
      <c r="R101" s="83" t="s">
        <v>454</v>
      </c>
      <c r="S101" s="83" t="s">
        <v>454</v>
      </c>
      <c r="T101" s="83" t="s">
        <v>454</v>
      </c>
      <c r="U101" s="83" t="s">
        <v>454</v>
      </c>
      <c r="V101" s="83" t="s">
        <v>454</v>
      </c>
      <c r="W101" s="102">
        <v>0</v>
      </c>
      <c r="X101" s="100">
        <v>0</v>
      </c>
      <c r="Y101" s="8"/>
      <c r="Z101" s="101">
        <v>9</v>
      </c>
      <c r="AA101" s="83" t="s">
        <v>615</v>
      </c>
      <c r="AB101" s="8" t="s">
        <v>359</v>
      </c>
      <c r="AC101" s="83" t="s">
        <v>616</v>
      </c>
      <c r="AD101" s="100">
        <v>1000</v>
      </c>
      <c r="AE101" s="83" t="s">
        <v>456</v>
      </c>
    </row>
    <row r="102" spans="1:31" ht="12.75" customHeight="1" x14ac:dyDescent="0.2">
      <c r="A102" s="32">
        <v>41</v>
      </c>
      <c r="B102" s="33" t="s">
        <v>617</v>
      </c>
      <c r="C102" s="33" t="s">
        <v>471</v>
      </c>
      <c r="D102" s="100">
        <v>38.78</v>
      </c>
      <c r="E102" s="101">
        <v>2652.7360000000003</v>
      </c>
      <c r="F102" s="100">
        <v>10.772222222222222</v>
      </c>
      <c r="G102" s="100">
        <v>36765.594444444447</v>
      </c>
      <c r="H102" s="83" t="s">
        <v>618</v>
      </c>
      <c r="I102" s="83" t="s">
        <v>454</v>
      </c>
      <c r="J102" s="33" t="s">
        <v>454</v>
      </c>
      <c r="K102" s="100">
        <v>2643</v>
      </c>
      <c r="L102" s="100">
        <v>6.0000000000000001E-3</v>
      </c>
      <c r="M102" s="100">
        <v>3.1E-2</v>
      </c>
      <c r="N102" s="101">
        <v>2652.7360000000003</v>
      </c>
      <c r="O102" s="83" t="s">
        <v>454</v>
      </c>
      <c r="P102" s="101">
        <v>1</v>
      </c>
      <c r="Q102" s="83" t="s">
        <v>454</v>
      </c>
      <c r="R102" s="83" t="s">
        <v>454</v>
      </c>
      <c r="S102" s="83" t="s">
        <v>454</v>
      </c>
      <c r="T102" s="83" t="s">
        <v>454</v>
      </c>
      <c r="U102" s="83" t="s">
        <v>454</v>
      </c>
      <c r="V102" s="83" t="s">
        <v>454</v>
      </c>
      <c r="W102" s="102">
        <v>0.107</v>
      </c>
      <c r="X102" s="100">
        <v>283.84275200000002</v>
      </c>
      <c r="Y102" s="8"/>
      <c r="Z102" s="101">
        <v>11</v>
      </c>
      <c r="AA102" s="83" t="s">
        <v>619</v>
      </c>
      <c r="AB102" s="8" t="s">
        <v>359</v>
      </c>
      <c r="AC102" s="83" t="s">
        <v>620</v>
      </c>
      <c r="AD102" s="100">
        <v>300</v>
      </c>
      <c r="AE102" s="83" t="s">
        <v>456</v>
      </c>
    </row>
    <row r="103" spans="1:31" ht="12.75" customHeight="1" x14ac:dyDescent="0.2">
      <c r="A103" s="32">
        <v>45</v>
      </c>
      <c r="B103" s="33" t="s">
        <v>621</v>
      </c>
      <c r="C103" s="33" t="s">
        <v>471</v>
      </c>
      <c r="D103" s="100">
        <v>40.57</v>
      </c>
      <c r="E103" s="101">
        <v>3503.681</v>
      </c>
      <c r="F103" s="100">
        <v>11.269444444444444</v>
      </c>
      <c r="G103" s="100">
        <v>38462.613888888889</v>
      </c>
      <c r="H103" s="83" t="s">
        <v>456</v>
      </c>
      <c r="I103" s="83" t="s">
        <v>454</v>
      </c>
      <c r="J103" s="33" t="s">
        <v>454</v>
      </c>
      <c r="K103" s="100">
        <v>3494</v>
      </c>
      <c r="L103" s="100">
        <v>0.12</v>
      </c>
      <c r="M103" s="100">
        <v>2.3099999999999999E-2</v>
      </c>
      <c r="N103" s="101">
        <v>3503.681</v>
      </c>
      <c r="O103" s="83" t="s">
        <v>454</v>
      </c>
      <c r="P103" s="101">
        <v>1</v>
      </c>
      <c r="Q103" s="83" t="s">
        <v>454</v>
      </c>
      <c r="R103" s="83" t="s">
        <v>454</v>
      </c>
      <c r="S103" s="83" t="s">
        <v>454</v>
      </c>
      <c r="T103" s="83" t="s">
        <v>454</v>
      </c>
      <c r="U103" s="83" t="s">
        <v>454</v>
      </c>
      <c r="V103" s="83" t="s">
        <v>454</v>
      </c>
      <c r="W103" s="102">
        <v>0.08</v>
      </c>
      <c r="X103" s="100">
        <v>280.29448000000002</v>
      </c>
      <c r="Y103" s="8"/>
      <c r="Z103" s="101">
        <v>12</v>
      </c>
      <c r="AA103" s="83" t="s">
        <v>622</v>
      </c>
      <c r="AB103" s="8" t="s">
        <v>359</v>
      </c>
      <c r="AC103" s="83" t="s">
        <v>620</v>
      </c>
      <c r="AD103" s="100">
        <v>3800</v>
      </c>
      <c r="AE103" s="83" t="s">
        <v>456</v>
      </c>
    </row>
    <row r="104" spans="1:31" ht="12.75" customHeight="1" x14ac:dyDescent="0.2">
      <c r="A104" s="32">
        <v>46</v>
      </c>
      <c r="B104" s="33" t="s">
        <v>623</v>
      </c>
      <c r="C104" s="33" t="s">
        <v>471</v>
      </c>
      <c r="D104" s="100">
        <v>23.41</v>
      </c>
      <c r="E104" s="101">
        <v>1519</v>
      </c>
      <c r="F104" s="100">
        <v>6.5027777777777773</v>
      </c>
      <c r="G104" s="100">
        <v>22193.980555555554</v>
      </c>
      <c r="H104" s="83" t="s">
        <v>456</v>
      </c>
      <c r="I104" s="83" t="s">
        <v>454</v>
      </c>
      <c r="J104" s="33" t="s">
        <v>454</v>
      </c>
      <c r="K104" s="100">
        <v>1519</v>
      </c>
      <c r="L104" s="100">
        <v>0</v>
      </c>
      <c r="M104" s="100">
        <v>0</v>
      </c>
      <c r="N104" s="101">
        <v>1519</v>
      </c>
      <c r="O104" s="83" t="s">
        <v>454</v>
      </c>
      <c r="P104" s="101">
        <v>2</v>
      </c>
      <c r="Q104" s="83" t="s">
        <v>454</v>
      </c>
      <c r="R104" s="83" t="s">
        <v>454</v>
      </c>
      <c r="S104" s="83" t="s">
        <v>454</v>
      </c>
      <c r="T104" s="83" t="s">
        <v>454</v>
      </c>
      <c r="U104" s="83" t="s">
        <v>454</v>
      </c>
      <c r="V104" s="83" t="s">
        <v>454</v>
      </c>
      <c r="W104" s="102">
        <v>0</v>
      </c>
      <c r="X104" s="100">
        <v>0</v>
      </c>
      <c r="Y104" s="8"/>
      <c r="Z104" s="101">
        <v>13</v>
      </c>
      <c r="AA104" s="83" t="s">
        <v>624</v>
      </c>
      <c r="AB104" s="8" t="s">
        <v>359</v>
      </c>
      <c r="AC104" s="83" t="s">
        <v>625</v>
      </c>
      <c r="AD104" s="100">
        <v>140</v>
      </c>
      <c r="AE104" s="83" t="s">
        <v>456</v>
      </c>
    </row>
    <row r="105" spans="1:31" ht="12.75" customHeight="1" x14ac:dyDescent="0.2">
      <c r="A105" s="32">
        <v>47</v>
      </c>
      <c r="B105" s="33" t="s">
        <v>626</v>
      </c>
      <c r="C105" s="33" t="s">
        <v>471</v>
      </c>
      <c r="D105" s="100">
        <v>35.67</v>
      </c>
      <c r="E105" s="101">
        <v>0</v>
      </c>
      <c r="F105" s="100">
        <v>9.9083333333333332</v>
      </c>
      <c r="G105" s="100">
        <v>33817.141666666663</v>
      </c>
      <c r="H105" s="83" t="s">
        <v>456</v>
      </c>
      <c r="I105" s="83" t="s">
        <v>454</v>
      </c>
      <c r="J105" s="33" t="s">
        <v>454</v>
      </c>
      <c r="K105" s="100">
        <v>2497</v>
      </c>
      <c r="L105" s="100">
        <v>0</v>
      </c>
      <c r="M105" s="100">
        <v>0</v>
      </c>
      <c r="N105" s="101">
        <v>2497</v>
      </c>
      <c r="O105" s="83" t="s">
        <v>454</v>
      </c>
      <c r="P105" s="101">
        <v>2</v>
      </c>
      <c r="Q105" s="83" t="s">
        <v>454</v>
      </c>
      <c r="R105" s="83" t="s">
        <v>454</v>
      </c>
      <c r="S105" s="83" t="s">
        <v>454</v>
      </c>
      <c r="T105" s="83" t="s">
        <v>454</v>
      </c>
      <c r="U105" s="83" t="s">
        <v>454</v>
      </c>
      <c r="V105" s="83" t="s">
        <v>454</v>
      </c>
      <c r="W105" s="102">
        <v>0</v>
      </c>
      <c r="X105" s="100">
        <v>0</v>
      </c>
      <c r="Y105" s="8"/>
      <c r="Z105" s="101">
        <v>77</v>
      </c>
      <c r="AA105" s="83" t="s">
        <v>627</v>
      </c>
      <c r="AB105" s="8" t="s">
        <v>359</v>
      </c>
      <c r="AC105" s="83" t="s">
        <v>628</v>
      </c>
      <c r="AD105" s="100">
        <v>12</v>
      </c>
      <c r="AE105" s="83" t="s">
        <v>456</v>
      </c>
    </row>
    <row r="106" spans="1:31" ht="12.75" customHeight="1" x14ac:dyDescent="0.2">
      <c r="A106" s="32">
        <v>48</v>
      </c>
      <c r="B106" s="33" t="s">
        <v>629</v>
      </c>
      <c r="C106" s="33" t="s">
        <v>471</v>
      </c>
      <c r="D106" s="100">
        <v>34.840000000000003</v>
      </c>
      <c r="E106" s="101">
        <v>0</v>
      </c>
      <c r="F106" s="100">
        <v>9.6777777777777789</v>
      </c>
      <c r="G106" s="100">
        <v>33030.255555555559</v>
      </c>
      <c r="H106" s="83" t="s">
        <v>456</v>
      </c>
      <c r="I106" s="83" t="s">
        <v>454</v>
      </c>
      <c r="J106" s="33" t="s">
        <v>454</v>
      </c>
      <c r="K106" s="100">
        <v>2348</v>
      </c>
      <c r="L106" s="100">
        <v>0</v>
      </c>
      <c r="M106" s="100">
        <v>0</v>
      </c>
      <c r="N106" s="101">
        <v>2348</v>
      </c>
      <c r="O106" s="83" t="s">
        <v>454</v>
      </c>
      <c r="P106" s="101">
        <v>2</v>
      </c>
      <c r="Q106" s="83" t="s">
        <v>454</v>
      </c>
      <c r="R106" s="83" t="s">
        <v>454</v>
      </c>
      <c r="S106" s="83" t="s">
        <v>454</v>
      </c>
      <c r="T106" s="83" t="s">
        <v>454</v>
      </c>
      <c r="U106" s="83" t="s">
        <v>454</v>
      </c>
      <c r="V106" s="83" t="s">
        <v>454</v>
      </c>
      <c r="W106" s="102">
        <v>0</v>
      </c>
      <c r="X106" s="100">
        <v>0</v>
      </c>
      <c r="Y106" s="8"/>
      <c r="Z106" s="101">
        <v>14</v>
      </c>
      <c r="AA106" s="83" t="s">
        <v>630</v>
      </c>
      <c r="AB106" s="8" t="s">
        <v>359</v>
      </c>
      <c r="AC106" s="83" t="s">
        <v>631</v>
      </c>
      <c r="AD106" s="100">
        <v>2900</v>
      </c>
      <c r="AE106" s="83" t="s">
        <v>456</v>
      </c>
    </row>
    <row r="107" spans="1:31" ht="12.75" customHeight="1" x14ac:dyDescent="0.2">
      <c r="A107" s="32">
        <v>49</v>
      </c>
      <c r="B107" s="33" t="s">
        <v>632</v>
      </c>
      <c r="C107" s="33" t="s">
        <v>471</v>
      </c>
      <c r="D107" s="100">
        <v>33.44</v>
      </c>
      <c r="E107" s="101">
        <v>0</v>
      </c>
      <c r="F107" s="100">
        <v>9.2888888888888879</v>
      </c>
      <c r="G107" s="100">
        <v>31702.977777777774</v>
      </c>
      <c r="H107" s="83" t="s">
        <v>456</v>
      </c>
      <c r="I107" s="83" t="s">
        <v>454</v>
      </c>
      <c r="J107" s="33" t="s">
        <v>454</v>
      </c>
      <c r="K107" s="100">
        <v>2585</v>
      </c>
      <c r="L107" s="100">
        <v>0</v>
      </c>
      <c r="M107" s="100">
        <v>0</v>
      </c>
      <c r="N107" s="101">
        <v>2585</v>
      </c>
      <c r="O107" s="83" t="s">
        <v>454</v>
      </c>
      <c r="P107" s="101">
        <v>2</v>
      </c>
      <c r="Q107" s="83" t="s">
        <v>454</v>
      </c>
      <c r="R107" s="83" t="s">
        <v>454</v>
      </c>
      <c r="S107" s="83" t="s">
        <v>454</v>
      </c>
      <c r="T107" s="83" t="s">
        <v>454</v>
      </c>
      <c r="U107" s="83" t="s">
        <v>454</v>
      </c>
      <c r="V107" s="83" t="s">
        <v>454</v>
      </c>
      <c r="W107" s="102">
        <v>0</v>
      </c>
      <c r="X107" s="100">
        <v>0</v>
      </c>
      <c r="Y107" s="8"/>
      <c r="Z107" s="101">
        <v>4</v>
      </c>
      <c r="AA107" s="83" t="s">
        <v>633</v>
      </c>
      <c r="AB107" s="8" t="s">
        <v>359</v>
      </c>
      <c r="AC107" s="83" t="s">
        <v>634</v>
      </c>
      <c r="AD107" s="100">
        <v>11700</v>
      </c>
      <c r="AE107" s="83" t="s">
        <v>456</v>
      </c>
    </row>
    <row r="108" spans="1:31" ht="12.75" customHeight="1" x14ac:dyDescent="0.2">
      <c r="A108" s="32">
        <v>50</v>
      </c>
      <c r="B108" s="33" t="s">
        <v>635</v>
      </c>
      <c r="C108" s="33" t="s">
        <v>359</v>
      </c>
      <c r="D108" s="100">
        <v>29.82</v>
      </c>
      <c r="E108" s="101">
        <v>2346.83</v>
      </c>
      <c r="F108" s="100">
        <v>8.2833333333333332</v>
      </c>
      <c r="G108" s="100">
        <v>28271.016666666666</v>
      </c>
      <c r="H108" s="83" t="s">
        <v>636</v>
      </c>
      <c r="I108" s="83" t="s">
        <v>454</v>
      </c>
      <c r="J108" s="33" t="s">
        <v>454</v>
      </c>
      <c r="K108" s="100">
        <v>2340</v>
      </c>
      <c r="L108" s="100">
        <v>0.03</v>
      </c>
      <c r="M108" s="100">
        <v>0.02</v>
      </c>
      <c r="N108" s="101">
        <v>2346.83</v>
      </c>
      <c r="O108" s="83" t="s">
        <v>454</v>
      </c>
      <c r="P108" s="101">
        <v>1</v>
      </c>
      <c r="Q108" s="83" t="s">
        <v>454</v>
      </c>
      <c r="R108" s="83" t="s">
        <v>454</v>
      </c>
      <c r="S108" s="83" t="s">
        <v>454</v>
      </c>
      <c r="T108" s="83" t="s">
        <v>454</v>
      </c>
      <c r="U108" s="83" t="s">
        <v>454</v>
      </c>
      <c r="V108" s="83" t="s">
        <v>454</v>
      </c>
      <c r="W108" s="102">
        <v>0.08</v>
      </c>
      <c r="X108" s="100">
        <v>187.74639999999999</v>
      </c>
      <c r="Y108" s="8"/>
      <c r="Z108" s="101">
        <v>78</v>
      </c>
      <c r="AA108" s="83" t="s">
        <v>637</v>
      </c>
      <c r="AB108" s="8" t="s">
        <v>359</v>
      </c>
      <c r="AC108" s="83" t="s">
        <v>638</v>
      </c>
      <c r="AD108" s="100">
        <v>1300</v>
      </c>
      <c r="AE108" s="83" t="s">
        <v>456</v>
      </c>
    </row>
    <row r="109" spans="1:31" ht="12.75" customHeight="1" x14ac:dyDescent="0.2">
      <c r="A109" s="32">
        <v>51</v>
      </c>
      <c r="B109" s="33" t="s">
        <v>639</v>
      </c>
      <c r="C109" s="33" t="s">
        <v>359</v>
      </c>
      <c r="D109" s="100">
        <v>11.57</v>
      </c>
      <c r="E109" s="101">
        <v>21.642099999999999</v>
      </c>
      <c r="F109" s="100">
        <v>3.213888888888889</v>
      </c>
      <c r="G109" s="100">
        <v>10969.002777777778</v>
      </c>
      <c r="H109" s="83" t="s">
        <v>640</v>
      </c>
      <c r="I109" s="83" t="s">
        <v>454</v>
      </c>
      <c r="J109" s="33" t="s">
        <v>454</v>
      </c>
      <c r="K109" s="100">
        <v>990.39200000000005</v>
      </c>
      <c r="L109" s="100">
        <v>0.34710000000000002</v>
      </c>
      <c r="M109" s="100">
        <v>4.6280000000000002E-2</v>
      </c>
      <c r="N109" s="101">
        <v>1012.034</v>
      </c>
      <c r="O109" s="83" t="s">
        <v>454</v>
      </c>
      <c r="P109" s="101">
        <v>2</v>
      </c>
      <c r="Q109" s="83" t="s">
        <v>454</v>
      </c>
      <c r="R109" s="83" t="s">
        <v>454</v>
      </c>
      <c r="S109" s="83" t="s">
        <v>454</v>
      </c>
      <c r="T109" s="83" t="s">
        <v>454</v>
      </c>
      <c r="U109" s="83" t="s">
        <v>454</v>
      </c>
      <c r="V109" s="83" t="s">
        <v>454</v>
      </c>
      <c r="W109" s="102">
        <v>0</v>
      </c>
      <c r="X109" s="100">
        <v>0</v>
      </c>
      <c r="Y109" s="8"/>
      <c r="Z109" s="101">
        <v>79</v>
      </c>
      <c r="AA109" s="83" t="s">
        <v>641</v>
      </c>
      <c r="AB109" s="8" t="s">
        <v>359</v>
      </c>
      <c r="AC109" s="83" t="s">
        <v>638</v>
      </c>
      <c r="AD109" s="100">
        <v>1200</v>
      </c>
      <c r="AE109" s="83" t="s">
        <v>456</v>
      </c>
    </row>
    <row r="110" spans="1:31" ht="12.75" customHeight="1" x14ac:dyDescent="0.2">
      <c r="A110" s="32">
        <v>52</v>
      </c>
      <c r="B110" s="33" t="s">
        <v>642</v>
      </c>
      <c r="C110" s="33" t="s">
        <v>359</v>
      </c>
      <c r="D110" s="100">
        <v>9.3000000000000007</v>
      </c>
      <c r="E110" s="101">
        <v>4.5198</v>
      </c>
      <c r="F110" s="100">
        <v>2.5833333333333335</v>
      </c>
      <c r="G110" s="100">
        <v>8816.9166666666679</v>
      </c>
      <c r="H110" s="83" t="s">
        <v>643</v>
      </c>
      <c r="I110" s="83" t="s">
        <v>454</v>
      </c>
      <c r="J110" s="33">
        <v>1</v>
      </c>
      <c r="K110" s="100">
        <v>957.9</v>
      </c>
      <c r="L110" s="100">
        <v>8.9999999999999993E-3</v>
      </c>
      <c r="M110" s="100">
        <v>1.3950000000000001E-2</v>
      </c>
      <c r="N110" s="101">
        <v>962.41980000000001</v>
      </c>
      <c r="O110" s="83" t="s">
        <v>454</v>
      </c>
      <c r="P110" s="101">
        <v>2</v>
      </c>
      <c r="Q110" s="83" t="s">
        <v>454</v>
      </c>
      <c r="R110" s="83" t="s">
        <v>454</v>
      </c>
      <c r="S110" s="83" t="s">
        <v>454</v>
      </c>
      <c r="T110" s="83" t="s">
        <v>454</v>
      </c>
      <c r="U110" s="83" t="s">
        <v>454</v>
      </c>
      <c r="V110" s="83" t="s">
        <v>454</v>
      </c>
      <c r="W110" s="102">
        <v>0</v>
      </c>
      <c r="X110" s="100">
        <v>0</v>
      </c>
      <c r="Y110" s="8"/>
      <c r="Z110" s="101">
        <v>15</v>
      </c>
      <c r="AA110" s="83" t="s">
        <v>644</v>
      </c>
      <c r="AB110" s="8" t="s">
        <v>359</v>
      </c>
      <c r="AC110" s="83" t="s">
        <v>638</v>
      </c>
      <c r="AD110" s="100">
        <v>6300</v>
      </c>
      <c r="AE110" s="83" t="s">
        <v>456</v>
      </c>
    </row>
    <row r="111" spans="1:31" ht="12.75" customHeight="1" x14ac:dyDescent="0.2">
      <c r="A111" s="32">
        <v>53</v>
      </c>
      <c r="B111" s="33" t="s">
        <v>645</v>
      </c>
      <c r="C111" s="33" t="s">
        <v>359</v>
      </c>
      <c r="D111" s="100">
        <v>31.18</v>
      </c>
      <c r="E111" s="101">
        <v>2650</v>
      </c>
      <c r="F111" s="100">
        <v>8.6611111111111114</v>
      </c>
      <c r="G111" s="100">
        <v>29560.372222222224</v>
      </c>
      <c r="H111" s="83" t="s">
        <v>456</v>
      </c>
      <c r="I111" s="83" t="s">
        <v>454</v>
      </c>
      <c r="J111" s="33" t="s">
        <v>454</v>
      </c>
      <c r="K111" s="100">
        <v>2650</v>
      </c>
      <c r="L111" s="100">
        <v>0</v>
      </c>
      <c r="M111" s="100">
        <v>0</v>
      </c>
      <c r="N111" s="101">
        <v>2650</v>
      </c>
      <c r="O111" s="83" t="s">
        <v>454</v>
      </c>
      <c r="P111" s="101">
        <v>1</v>
      </c>
      <c r="Q111" s="83" t="s">
        <v>454</v>
      </c>
      <c r="R111" s="83" t="s">
        <v>454</v>
      </c>
      <c r="S111" s="83" t="s">
        <v>454</v>
      </c>
      <c r="T111" s="83" t="s">
        <v>454</v>
      </c>
      <c r="U111" s="83" t="s">
        <v>454</v>
      </c>
      <c r="V111" s="83" t="s">
        <v>454</v>
      </c>
      <c r="W111" s="102">
        <v>0</v>
      </c>
      <c r="X111" s="100">
        <v>0</v>
      </c>
      <c r="Y111" s="8"/>
      <c r="Z111" s="101">
        <v>16</v>
      </c>
      <c r="AA111" s="83" t="s">
        <v>646</v>
      </c>
      <c r="AB111" s="8" t="s">
        <v>359</v>
      </c>
      <c r="AC111" s="83" t="s">
        <v>647</v>
      </c>
      <c r="AD111" s="100">
        <v>560</v>
      </c>
      <c r="AE111" s="83" t="s">
        <v>456</v>
      </c>
    </row>
    <row r="112" spans="1:31" ht="12.75" customHeight="1" x14ac:dyDescent="0.2">
      <c r="A112" s="32">
        <v>54</v>
      </c>
      <c r="B112" s="33" t="s">
        <v>648</v>
      </c>
      <c r="C112" s="33" t="s">
        <v>359</v>
      </c>
      <c r="D112" s="100">
        <v>9.59</v>
      </c>
      <c r="E112" s="101">
        <v>0</v>
      </c>
      <c r="F112" s="100">
        <v>2.6638888888888888</v>
      </c>
      <c r="G112" s="100">
        <v>9091.8527777777781</v>
      </c>
      <c r="H112" s="83" t="s">
        <v>456</v>
      </c>
      <c r="I112" s="83" t="s">
        <v>454</v>
      </c>
      <c r="J112" s="33">
        <v>1</v>
      </c>
      <c r="K112" s="100">
        <v>1074</v>
      </c>
      <c r="L112" s="100">
        <v>0</v>
      </c>
      <c r="M112" s="100">
        <v>0</v>
      </c>
      <c r="N112" s="101">
        <v>1074</v>
      </c>
      <c r="O112" s="83" t="s">
        <v>454</v>
      </c>
      <c r="P112" s="101">
        <v>2</v>
      </c>
      <c r="Q112" s="83" t="s">
        <v>454</v>
      </c>
      <c r="R112" s="83" t="s">
        <v>454</v>
      </c>
      <c r="S112" s="83" t="s">
        <v>454</v>
      </c>
      <c r="T112" s="83" t="s">
        <v>454</v>
      </c>
      <c r="U112" s="83" t="s">
        <v>454</v>
      </c>
      <c r="V112" s="83" t="s">
        <v>454</v>
      </c>
      <c r="W112" s="102">
        <v>0</v>
      </c>
      <c r="X112" s="100">
        <v>0</v>
      </c>
      <c r="Y112" s="8"/>
      <c r="Z112" s="101">
        <v>80</v>
      </c>
      <c r="AA112" s="83" t="s">
        <v>649</v>
      </c>
      <c r="AB112" s="8" t="s">
        <v>359</v>
      </c>
      <c r="AC112" s="83" t="s">
        <v>647</v>
      </c>
      <c r="AD112" s="100">
        <v>950</v>
      </c>
      <c r="AE112" s="83" t="s">
        <v>456</v>
      </c>
    </row>
    <row r="113" spans="1:31" ht="12.75" customHeight="1" x14ac:dyDescent="0.2">
      <c r="A113" s="32">
        <v>55</v>
      </c>
      <c r="B113" s="33" t="s">
        <v>650</v>
      </c>
      <c r="C113" s="33" t="s">
        <v>359</v>
      </c>
      <c r="D113" s="100">
        <v>30.03</v>
      </c>
      <c r="E113" s="101">
        <v>0</v>
      </c>
      <c r="F113" s="100">
        <v>8.4166666666666661</v>
      </c>
      <c r="G113" s="100">
        <v>28726.083333333332</v>
      </c>
      <c r="H113" s="83" t="s">
        <v>456</v>
      </c>
      <c r="I113" s="83" t="s">
        <v>454</v>
      </c>
      <c r="J113" s="33">
        <v>1</v>
      </c>
      <c r="K113" s="100">
        <v>3000</v>
      </c>
      <c r="L113" s="100">
        <v>0</v>
      </c>
      <c r="M113" s="100">
        <v>0</v>
      </c>
      <c r="N113" s="101">
        <v>3000</v>
      </c>
      <c r="O113" s="83" t="s">
        <v>454</v>
      </c>
      <c r="P113" s="101">
        <v>2</v>
      </c>
      <c r="Q113" s="83" t="s">
        <v>454</v>
      </c>
      <c r="R113" s="83" t="s">
        <v>454</v>
      </c>
      <c r="S113" s="83" t="s">
        <v>454</v>
      </c>
      <c r="T113" s="83" t="s">
        <v>454</v>
      </c>
      <c r="U113" s="83" t="s">
        <v>454</v>
      </c>
      <c r="V113" s="83" t="s">
        <v>454</v>
      </c>
      <c r="W113" s="102">
        <v>0</v>
      </c>
      <c r="X113" s="100">
        <v>0</v>
      </c>
      <c r="Y113" s="8"/>
      <c r="Z113" s="101">
        <v>118</v>
      </c>
      <c r="AA113" s="83" t="s">
        <v>649</v>
      </c>
      <c r="AB113" s="8" t="s">
        <v>359</v>
      </c>
      <c r="AC113" s="83" t="s">
        <v>651</v>
      </c>
      <c r="AD113" s="100">
        <v>0</v>
      </c>
      <c r="AE113" s="83" t="s">
        <v>454</v>
      </c>
    </row>
    <row r="114" spans="1:31" ht="12.75" customHeight="1" x14ac:dyDescent="0.2">
      <c r="A114" s="32">
        <v>56</v>
      </c>
      <c r="B114" s="33" t="s">
        <v>652</v>
      </c>
      <c r="C114" s="33" t="s">
        <v>458</v>
      </c>
      <c r="D114" s="100">
        <v>19.14</v>
      </c>
      <c r="E114" s="101">
        <v>890.62700000000007</v>
      </c>
      <c r="F114" s="100">
        <v>5.3166666666666664</v>
      </c>
      <c r="G114" s="100">
        <v>18145.783333333333</v>
      </c>
      <c r="H114" s="83" t="s">
        <v>456</v>
      </c>
      <c r="I114" s="83" t="s">
        <v>454</v>
      </c>
      <c r="J114" s="33" t="s">
        <v>454</v>
      </c>
      <c r="K114" s="100">
        <v>879</v>
      </c>
      <c r="L114" s="100">
        <v>3.6999999999999998E-2</v>
      </c>
      <c r="M114" s="100">
        <v>3.5000000000000003E-2</v>
      </c>
      <c r="N114" s="101">
        <v>890.62700000000007</v>
      </c>
      <c r="O114" s="83" t="s">
        <v>454</v>
      </c>
      <c r="P114" s="101">
        <v>1</v>
      </c>
      <c r="Q114" s="83" t="s">
        <v>454</v>
      </c>
      <c r="R114" s="83" t="s">
        <v>454</v>
      </c>
      <c r="S114" s="83" t="s">
        <v>454</v>
      </c>
      <c r="T114" s="83" t="s">
        <v>454</v>
      </c>
      <c r="U114" s="83" t="s">
        <v>454</v>
      </c>
      <c r="V114" s="83" t="s">
        <v>454</v>
      </c>
      <c r="W114" s="102">
        <v>0.188</v>
      </c>
      <c r="X114" s="100">
        <v>167.43787599999999</v>
      </c>
      <c r="Y114" s="8"/>
      <c r="Z114" s="101">
        <v>5</v>
      </c>
      <c r="AA114" s="83" t="s">
        <v>653</v>
      </c>
      <c r="AB114" s="8" t="s">
        <v>359</v>
      </c>
      <c r="AC114" s="83" t="s">
        <v>654</v>
      </c>
      <c r="AD114" s="100">
        <v>650</v>
      </c>
      <c r="AE114" s="83" t="s">
        <v>456</v>
      </c>
    </row>
    <row r="115" spans="1:31" ht="12.75" customHeight="1" x14ac:dyDescent="0.2">
      <c r="A115" s="32">
        <v>57</v>
      </c>
      <c r="B115" s="33" t="s">
        <v>655</v>
      </c>
      <c r="C115" s="33" t="s">
        <v>458</v>
      </c>
      <c r="D115" s="100">
        <v>38.32</v>
      </c>
      <c r="E115" s="101">
        <v>11.317</v>
      </c>
      <c r="F115" s="100">
        <v>10.64</v>
      </c>
      <c r="G115" s="100">
        <v>36361.42</v>
      </c>
      <c r="H115" s="83" t="s">
        <v>456</v>
      </c>
      <c r="I115" s="83" t="s">
        <v>454</v>
      </c>
      <c r="J115" s="33">
        <v>1</v>
      </c>
      <c r="K115" s="100">
        <v>1878</v>
      </c>
      <c r="L115" s="100">
        <v>3.6999999999999998E-2</v>
      </c>
      <c r="M115" s="100">
        <v>3.4000000000000002E-2</v>
      </c>
      <c r="N115" s="101">
        <v>1889.32</v>
      </c>
      <c r="O115" s="83" t="s">
        <v>454</v>
      </c>
      <c r="P115" s="101">
        <v>2</v>
      </c>
      <c r="Q115" s="83" t="s">
        <v>454</v>
      </c>
      <c r="R115" s="83" t="s">
        <v>454</v>
      </c>
      <c r="S115" s="83" t="s">
        <v>454</v>
      </c>
      <c r="T115" s="83" t="s">
        <v>454</v>
      </c>
      <c r="U115" s="83" t="s">
        <v>454</v>
      </c>
      <c r="V115" s="83" t="s">
        <v>454</v>
      </c>
      <c r="W115" s="102">
        <v>0</v>
      </c>
      <c r="X115" s="100">
        <v>0</v>
      </c>
      <c r="Y115" s="8"/>
      <c r="Z115" s="101">
        <v>119</v>
      </c>
      <c r="AA115" s="83" t="s">
        <v>656</v>
      </c>
      <c r="AB115" s="8" t="s">
        <v>359</v>
      </c>
      <c r="AC115" s="83" t="s">
        <v>454</v>
      </c>
      <c r="AD115" s="100">
        <v>0</v>
      </c>
      <c r="AE115" s="83" t="s">
        <v>454</v>
      </c>
    </row>
    <row r="116" spans="1:31" ht="12.75" customHeight="1" x14ac:dyDescent="0.2">
      <c r="A116" s="32">
        <v>58</v>
      </c>
      <c r="B116" s="33" t="s">
        <v>657</v>
      </c>
      <c r="C116" s="33" t="s">
        <v>458</v>
      </c>
      <c r="D116" s="100">
        <v>38.32</v>
      </c>
      <c r="E116" s="101">
        <v>11.317</v>
      </c>
      <c r="F116" s="100">
        <v>10.64</v>
      </c>
      <c r="G116" s="100">
        <v>36361.42</v>
      </c>
      <c r="H116" s="83" t="s">
        <v>456</v>
      </c>
      <c r="I116" s="83" t="s">
        <v>454</v>
      </c>
      <c r="J116" s="33">
        <v>1</v>
      </c>
      <c r="K116" s="100">
        <v>1878</v>
      </c>
      <c r="L116" s="100">
        <v>3.6999999999999998E-2</v>
      </c>
      <c r="M116" s="100">
        <v>3.4000000000000002E-2</v>
      </c>
      <c r="N116" s="101">
        <v>1889.32</v>
      </c>
      <c r="O116" s="83" t="s">
        <v>454</v>
      </c>
      <c r="P116" s="101">
        <v>2</v>
      </c>
      <c r="Q116" s="83" t="s">
        <v>454</v>
      </c>
      <c r="R116" s="83" t="s">
        <v>454</v>
      </c>
      <c r="S116" s="83" t="s">
        <v>454</v>
      </c>
      <c r="T116" s="83" t="s">
        <v>454</v>
      </c>
      <c r="U116" s="83" t="s">
        <v>454</v>
      </c>
      <c r="V116" s="83" t="s">
        <v>454</v>
      </c>
      <c r="W116" s="102">
        <v>0</v>
      </c>
      <c r="X116" s="100">
        <v>0</v>
      </c>
      <c r="Y116" s="8"/>
      <c r="Z116" s="101">
        <v>81</v>
      </c>
      <c r="AA116" s="83" t="s">
        <v>656</v>
      </c>
      <c r="AB116" s="8" t="s">
        <v>359</v>
      </c>
      <c r="AC116" s="83" t="s">
        <v>658</v>
      </c>
      <c r="AD116" s="100">
        <v>890</v>
      </c>
      <c r="AE116" s="83" t="s">
        <v>456</v>
      </c>
    </row>
    <row r="117" spans="1:31" ht="12.75" customHeight="1" x14ac:dyDescent="0.2">
      <c r="A117" s="32">
        <v>61</v>
      </c>
      <c r="B117" s="33" t="s">
        <v>659</v>
      </c>
      <c r="C117" s="33" t="s">
        <v>359</v>
      </c>
      <c r="D117" s="100">
        <v>27.6</v>
      </c>
      <c r="E117" s="101">
        <v>35.966000000000001</v>
      </c>
      <c r="F117" s="100">
        <v>7.67</v>
      </c>
      <c r="G117" s="100">
        <v>16166.25</v>
      </c>
      <c r="H117" s="83" t="s">
        <v>456</v>
      </c>
      <c r="I117" s="83" t="s">
        <v>454</v>
      </c>
      <c r="J117" s="33">
        <v>1</v>
      </c>
      <c r="K117" s="100">
        <v>3190</v>
      </c>
      <c r="L117" s="100">
        <v>0.57599999999999996</v>
      </c>
      <c r="M117" s="100">
        <v>7.6999999999999999E-2</v>
      </c>
      <c r="N117" s="101">
        <v>3225.9659999999999</v>
      </c>
      <c r="O117" s="83" t="s">
        <v>454</v>
      </c>
      <c r="P117" s="101">
        <v>1</v>
      </c>
      <c r="Q117" s="83" t="s">
        <v>454</v>
      </c>
      <c r="R117" s="83" t="s">
        <v>454</v>
      </c>
      <c r="S117" s="83" t="s">
        <v>454</v>
      </c>
      <c r="T117" s="83" t="s">
        <v>454</v>
      </c>
      <c r="U117" s="83" t="s">
        <v>454</v>
      </c>
      <c r="V117" s="83" t="s">
        <v>454</v>
      </c>
      <c r="W117" s="102">
        <v>0</v>
      </c>
      <c r="X117" s="100">
        <v>0</v>
      </c>
      <c r="Z117" s="32">
        <v>6</v>
      </c>
      <c r="AA117" s="33" t="s">
        <v>660</v>
      </c>
      <c r="AB117" t="s">
        <v>359</v>
      </c>
      <c r="AC117" s="33" t="s">
        <v>661</v>
      </c>
      <c r="AD117" s="35">
        <v>150</v>
      </c>
      <c r="AE117" s="33" t="s">
        <v>456</v>
      </c>
    </row>
    <row r="118" spans="1:31" ht="12.75" customHeight="1" x14ac:dyDescent="0.2">
      <c r="Z118" s="32">
        <v>7</v>
      </c>
      <c r="AA118" s="33" t="s">
        <v>662</v>
      </c>
      <c r="AB118" t="s">
        <v>359</v>
      </c>
      <c r="AC118" s="33" t="s">
        <v>663</v>
      </c>
      <c r="AD118" s="35">
        <v>1300</v>
      </c>
      <c r="AE118" s="33" t="s">
        <v>456</v>
      </c>
    </row>
    <row r="119" spans="1:31" ht="12.75" customHeight="1" x14ac:dyDescent="0.2">
      <c r="Z119" s="32">
        <v>2</v>
      </c>
      <c r="AA119" s="33" t="s">
        <v>664</v>
      </c>
      <c r="AB119" t="s">
        <v>359</v>
      </c>
      <c r="AC119" s="33" t="s">
        <v>432</v>
      </c>
      <c r="AD119" s="35">
        <v>21</v>
      </c>
      <c r="AE119" s="33" t="s">
        <v>456</v>
      </c>
    </row>
    <row r="120" spans="1:31" ht="12.75" customHeight="1" x14ac:dyDescent="0.2">
      <c r="Z120" s="32">
        <v>120</v>
      </c>
      <c r="AA120" s="33" t="s">
        <v>665</v>
      </c>
      <c r="AB120" t="s">
        <v>359</v>
      </c>
      <c r="AC120" s="33" t="s">
        <v>666</v>
      </c>
      <c r="AD120" s="35">
        <v>0</v>
      </c>
      <c r="AE120" s="33" t="s">
        <v>454</v>
      </c>
    </row>
    <row r="121" spans="1:31" ht="12.75" customHeight="1" x14ac:dyDescent="0.2">
      <c r="Z121" s="32">
        <v>3</v>
      </c>
      <c r="AA121" s="33" t="s">
        <v>667</v>
      </c>
      <c r="AB121" t="s">
        <v>359</v>
      </c>
      <c r="AC121" s="33" t="s">
        <v>433</v>
      </c>
      <c r="AD121" s="35">
        <v>310</v>
      </c>
      <c r="AE121" s="33" t="s">
        <v>456</v>
      </c>
    </row>
    <row r="122" spans="1:31" ht="12.75" customHeight="1" x14ac:dyDescent="0.2">
      <c r="Z122" s="32">
        <v>72</v>
      </c>
      <c r="AA122" s="33" t="s">
        <v>668</v>
      </c>
      <c r="AB122" t="s">
        <v>359</v>
      </c>
      <c r="AC122" s="33" t="s">
        <v>669</v>
      </c>
      <c r="AD122" s="35">
        <v>7480</v>
      </c>
      <c r="AE122" s="33" t="s">
        <v>670</v>
      </c>
    </row>
    <row r="123" spans="1:31" ht="12.75" customHeight="1" x14ac:dyDescent="0.2">
      <c r="Z123" s="32">
        <v>20</v>
      </c>
      <c r="AA123" s="33" t="s">
        <v>671</v>
      </c>
      <c r="AB123" t="s">
        <v>359</v>
      </c>
      <c r="AC123" s="33" t="s">
        <v>672</v>
      </c>
      <c r="AD123" s="35">
        <v>7000</v>
      </c>
      <c r="AE123" s="33" t="s">
        <v>456</v>
      </c>
    </row>
    <row r="124" spans="1:31" ht="12.75" customHeight="1" x14ac:dyDescent="0.2">
      <c r="Z124" s="32">
        <v>21</v>
      </c>
      <c r="AA124" s="33" t="s">
        <v>673</v>
      </c>
      <c r="AB124" t="s">
        <v>359</v>
      </c>
      <c r="AC124" s="33" t="s">
        <v>674</v>
      </c>
      <c r="AD124" s="35">
        <v>8700</v>
      </c>
      <c r="AE124" s="33" t="s">
        <v>456</v>
      </c>
    </row>
    <row r="125" spans="1:31" ht="12.75" customHeight="1" x14ac:dyDescent="0.2">
      <c r="Z125" s="32">
        <v>18</v>
      </c>
      <c r="AA125" s="33" t="s">
        <v>675</v>
      </c>
      <c r="AB125" t="s">
        <v>359</v>
      </c>
      <c r="AC125" s="33" t="s">
        <v>676</v>
      </c>
      <c r="AD125" s="35">
        <v>9200</v>
      </c>
      <c r="AE125" s="33" t="s">
        <v>456</v>
      </c>
    </row>
    <row r="126" spans="1:31" ht="12.75" customHeight="1" x14ac:dyDescent="0.2">
      <c r="Z126" s="32">
        <v>23</v>
      </c>
      <c r="AA126" s="33" t="s">
        <v>677</v>
      </c>
      <c r="AB126" t="s">
        <v>359</v>
      </c>
      <c r="AC126" s="33" t="s">
        <v>678</v>
      </c>
      <c r="AD126" s="35">
        <v>7400</v>
      </c>
      <c r="AE126" s="33" t="s">
        <v>456</v>
      </c>
    </row>
    <row r="127" spans="1:31" ht="12.75" customHeight="1" x14ac:dyDescent="0.2">
      <c r="Z127" s="32">
        <v>17</v>
      </c>
      <c r="AA127" s="33" t="s">
        <v>679</v>
      </c>
      <c r="AB127" t="s">
        <v>359</v>
      </c>
      <c r="AC127" s="33" t="s">
        <v>680</v>
      </c>
      <c r="AD127" s="35">
        <v>6500</v>
      </c>
      <c r="AE127" s="33" t="s">
        <v>456</v>
      </c>
    </row>
    <row r="128" spans="1:31" ht="12.75" customHeight="1" x14ac:dyDescent="0.2">
      <c r="Z128" s="32">
        <v>22</v>
      </c>
      <c r="AA128" s="33" t="s">
        <v>681</v>
      </c>
      <c r="AB128" t="s">
        <v>359</v>
      </c>
      <c r="AC128" s="33" t="s">
        <v>682</v>
      </c>
      <c r="AD128" s="35">
        <v>7500</v>
      </c>
      <c r="AE128" s="33" t="s">
        <v>456</v>
      </c>
    </row>
    <row r="129" spans="1:31" ht="12.75" customHeight="1" x14ac:dyDescent="0.2">
      <c r="Z129" s="32">
        <v>19</v>
      </c>
      <c r="AA129" s="33" t="s">
        <v>683</v>
      </c>
      <c r="AB129" t="s">
        <v>359</v>
      </c>
      <c r="AC129" s="33" t="s">
        <v>684</v>
      </c>
      <c r="AD129" s="35">
        <v>7000</v>
      </c>
      <c r="AE129" s="33" t="s">
        <v>456</v>
      </c>
    </row>
    <row r="130" spans="1:31" ht="12.75" customHeight="1" x14ac:dyDescent="0.2">
      <c r="Z130" s="32">
        <v>95</v>
      </c>
      <c r="AA130" s="33" t="s">
        <v>685</v>
      </c>
      <c r="AB130" t="s">
        <v>359</v>
      </c>
      <c r="AC130" s="33" t="s">
        <v>686</v>
      </c>
      <c r="AD130" s="35">
        <v>10450</v>
      </c>
      <c r="AE130" s="33" t="s">
        <v>477</v>
      </c>
    </row>
    <row r="131" spans="1:31" ht="12.75" customHeight="1" x14ac:dyDescent="0.2">
      <c r="Z131" s="32">
        <v>40</v>
      </c>
      <c r="AA131" s="33" t="s">
        <v>687</v>
      </c>
      <c r="AB131" t="s">
        <v>359</v>
      </c>
      <c r="AC131" s="33" t="s">
        <v>688</v>
      </c>
      <c r="AD131" s="35">
        <v>1182.48</v>
      </c>
      <c r="AE131" s="33" t="s">
        <v>477</v>
      </c>
    </row>
    <row r="132" spans="1:31" ht="12.75" customHeight="1" x14ac:dyDescent="0.2">
      <c r="Z132" s="32">
        <v>41</v>
      </c>
      <c r="AA132" s="33" t="s">
        <v>689</v>
      </c>
      <c r="AB132" t="s">
        <v>359</v>
      </c>
      <c r="AC132" s="33" t="s">
        <v>690</v>
      </c>
      <c r="AD132" s="35">
        <v>1288.26</v>
      </c>
      <c r="AE132" s="33" t="s">
        <v>477</v>
      </c>
    </row>
    <row r="133" spans="1:31" ht="12.75" customHeight="1" x14ac:dyDescent="0.2">
      <c r="A133" t="s">
        <v>180</v>
      </c>
      <c r="B133" t="s">
        <v>182</v>
      </c>
      <c r="C133" t="s">
        <v>691</v>
      </c>
      <c r="D133" t="s">
        <v>692</v>
      </c>
      <c r="E133" t="s">
        <v>693</v>
      </c>
      <c r="F133" t="s">
        <v>179</v>
      </c>
      <c r="G133" t="s">
        <v>694</v>
      </c>
      <c r="H133" t="s">
        <v>695</v>
      </c>
      <c r="I133" t="s">
        <v>696</v>
      </c>
      <c r="J133" s="60" t="s">
        <v>697</v>
      </c>
      <c r="K133" t="s">
        <v>698</v>
      </c>
      <c r="L133" t="s">
        <v>319</v>
      </c>
      <c r="Z133" s="32">
        <v>42</v>
      </c>
      <c r="AA133" s="33" t="s">
        <v>699</v>
      </c>
      <c r="AB133" t="s">
        <v>359</v>
      </c>
      <c r="AC133" s="33" t="s">
        <v>700</v>
      </c>
      <c r="AD133" s="35">
        <v>934.98</v>
      </c>
      <c r="AE133" s="33" t="s">
        <v>701</v>
      </c>
    </row>
    <row r="134" spans="1:31" ht="12.75" customHeight="1" x14ac:dyDescent="0.2">
      <c r="A134" t="e">
        <f ca="1">DQ$2</f>
        <v>#REF!</v>
      </c>
      <c r="B134" t="str">
        <f>IF(B61=TRUE,"8","2")</f>
        <v>2</v>
      </c>
      <c r="C134" t="str">
        <f>IF(B61=TRUE,"81",IF(B57=TRUE,"21",IF(B58=TRUE,"221",IF(B59=TRUE,"23","222"))))</f>
        <v>222</v>
      </c>
      <c r="D134" t="str">
        <f>IF(B61=TRUE,"Recommissioning",IF(B57=TRUE,"Études",IF(B58=TRUE,"Études IP",IF(B59=TRUE,"Études approvisionnement","Études IP préliminaires"))))</f>
        <v>Études IP préliminaires</v>
      </c>
      <c r="E134" t="b">
        <f>DV2</f>
        <v>0</v>
      </c>
      <c r="F134" t="e">
        <f ca="1">IF(DP2="Agricole","Agricole",IF(DP2="Transport","Transport","Affaires"))</f>
        <v>#REF!</v>
      </c>
      <c r="G134" s="82" t="e">
        <f>#REF!</f>
        <v>#REF!</v>
      </c>
      <c r="H134" s="82" t="e">
        <f>#REF!</f>
        <v>#REF!</v>
      </c>
      <c r="I134" s="82" t="e">
        <f>#REF!</f>
        <v>#REF!</v>
      </c>
      <c r="J134" s="82" t="e">
        <f>#REF!</f>
        <v>#REF!</v>
      </c>
      <c r="K134">
        <v>50</v>
      </c>
      <c r="L134" t="str">
        <f>IF(B61=TRUE,"50.20",IF(B57=TRUE,"50.8",IF(B58=TRUE,"50.9",IF(B59=TRUE,"50.10","50.11"))))</f>
        <v>50.11</v>
      </c>
      <c r="Z134" s="32">
        <v>43</v>
      </c>
      <c r="AA134" s="33" t="s">
        <v>702</v>
      </c>
      <c r="AB134" t="s">
        <v>359</v>
      </c>
      <c r="AC134" s="33" t="s">
        <v>703</v>
      </c>
      <c r="AD134" s="35">
        <v>2826.68</v>
      </c>
      <c r="AE134" s="33" t="s">
        <v>701</v>
      </c>
    </row>
    <row r="135" spans="1:31" ht="12.75" customHeight="1" x14ac:dyDescent="0.2">
      <c r="Z135" s="32">
        <v>44</v>
      </c>
      <c r="AA135" s="33" t="s">
        <v>704</v>
      </c>
      <c r="AB135" t="s">
        <v>359</v>
      </c>
      <c r="AC135" s="33" t="s">
        <v>705</v>
      </c>
      <c r="AD135" s="35">
        <v>2446.88</v>
      </c>
      <c r="AE135" s="33" t="s">
        <v>701</v>
      </c>
    </row>
    <row r="136" spans="1:31" ht="12.75" customHeight="1" x14ac:dyDescent="0.2">
      <c r="Z136" s="32">
        <v>45</v>
      </c>
      <c r="AA136" s="33" t="s">
        <v>706</v>
      </c>
      <c r="AB136" t="s">
        <v>359</v>
      </c>
      <c r="AC136" s="33" t="s">
        <v>707</v>
      </c>
      <c r="AD136" s="35">
        <v>2834.6990000000001</v>
      </c>
      <c r="AE136" s="33" t="s">
        <v>456</v>
      </c>
    </row>
    <row r="137" spans="1:31" ht="12.75" customHeight="1" x14ac:dyDescent="0.2">
      <c r="Z137" s="32">
        <v>46</v>
      </c>
      <c r="AA137" s="33" t="s">
        <v>708</v>
      </c>
      <c r="AB137" t="s">
        <v>359</v>
      </c>
      <c r="AC137" s="33" t="s">
        <v>709</v>
      </c>
      <c r="AD137" s="35">
        <v>3820.799</v>
      </c>
      <c r="AE137" s="33" t="s">
        <v>456</v>
      </c>
    </row>
    <row r="138" spans="1:31" ht="12.75" customHeight="1" x14ac:dyDescent="0.2">
      <c r="Z138" s="32">
        <v>48</v>
      </c>
      <c r="AA138" s="33" t="s">
        <v>710</v>
      </c>
      <c r="AB138" t="s">
        <v>359</v>
      </c>
      <c r="AC138" s="33" t="s">
        <v>711</v>
      </c>
      <c r="AD138" s="35">
        <v>4648.8500000000004</v>
      </c>
      <c r="AE138" s="33" t="s">
        <v>701</v>
      </c>
    </row>
    <row r="139" spans="1:31" ht="12.75" customHeight="1" x14ac:dyDescent="0.2">
      <c r="Z139" s="32">
        <v>49</v>
      </c>
      <c r="AA139" s="33" t="s">
        <v>712</v>
      </c>
      <c r="AB139" t="s">
        <v>359</v>
      </c>
      <c r="AC139" s="33" t="s">
        <v>713</v>
      </c>
      <c r="AD139" s="35">
        <v>2013.16</v>
      </c>
      <c r="AE139" s="33" t="s">
        <v>701</v>
      </c>
    </row>
    <row r="140" spans="1:31" ht="12.75" customHeight="1" x14ac:dyDescent="0.2">
      <c r="Z140" s="32">
        <v>51</v>
      </c>
      <c r="AA140" s="33" t="s">
        <v>714</v>
      </c>
      <c r="AB140" t="s">
        <v>359</v>
      </c>
      <c r="AC140" s="33" t="s">
        <v>715</v>
      </c>
      <c r="AD140" s="35">
        <v>2285</v>
      </c>
      <c r="AE140" s="33" t="s">
        <v>456</v>
      </c>
    </row>
    <row r="141" spans="1:31" ht="12.75" customHeight="1" x14ac:dyDescent="0.2">
      <c r="Z141" s="32">
        <v>52</v>
      </c>
      <c r="AA141" s="33" t="s">
        <v>716</v>
      </c>
      <c r="AB141" t="s">
        <v>359</v>
      </c>
      <c r="AC141" s="33" t="s">
        <v>717</v>
      </c>
      <c r="AD141" s="35">
        <v>1525.5</v>
      </c>
      <c r="AE141" s="33" t="s">
        <v>456</v>
      </c>
    </row>
    <row r="142" spans="1:31" ht="12.75" customHeight="1" x14ac:dyDescent="0.2">
      <c r="Z142" s="32">
        <v>96</v>
      </c>
      <c r="AA142" s="33" t="s">
        <v>718</v>
      </c>
      <c r="AB142" t="s">
        <v>359</v>
      </c>
      <c r="AC142" s="33" t="s">
        <v>719</v>
      </c>
      <c r="AD142" s="35">
        <v>1427.5</v>
      </c>
      <c r="AE142" s="33" t="s">
        <v>456</v>
      </c>
    </row>
    <row r="143" spans="1:31" ht="12.75" customHeight="1" x14ac:dyDescent="0.2">
      <c r="Z143" s="32">
        <v>97</v>
      </c>
      <c r="AA143" s="33" t="s">
        <v>720</v>
      </c>
      <c r="AB143" t="s">
        <v>359</v>
      </c>
      <c r="AC143" s="33" t="s">
        <v>721</v>
      </c>
      <c r="AD143" s="35">
        <v>1362.5</v>
      </c>
      <c r="AE143" s="33" t="s">
        <v>456</v>
      </c>
    </row>
    <row r="144" spans="1:31" ht="12.75" customHeight="1" x14ac:dyDescent="0.2">
      <c r="Z144" s="32">
        <v>53</v>
      </c>
      <c r="AA144" s="33" t="s">
        <v>722</v>
      </c>
      <c r="AB144" t="s">
        <v>359</v>
      </c>
      <c r="AC144" s="33" t="s">
        <v>723</v>
      </c>
      <c r="AD144" s="35">
        <v>2794.7</v>
      </c>
      <c r="AE144" s="33" t="s">
        <v>701</v>
      </c>
    </row>
    <row r="145" spans="1:32" ht="12.75" customHeight="1" x14ac:dyDescent="0.2">
      <c r="Z145" s="32">
        <v>54</v>
      </c>
      <c r="AA145" s="33" t="s">
        <v>724</v>
      </c>
      <c r="AB145" t="s">
        <v>359</v>
      </c>
      <c r="AC145" s="33" t="s">
        <v>725</v>
      </c>
      <c r="AD145" s="35">
        <v>1584.75</v>
      </c>
      <c r="AE145" s="33" t="s">
        <v>477</v>
      </c>
    </row>
    <row r="146" spans="1:32" ht="12.75" customHeight="1" x14ac:dyDescent="0.2">
      <c r="Z146" s="32">
        <v>98</v>
      </c>
      <c r="AA146" s="33" t="s">
        <v>726</v>
      </c>
      <c r="AB146" t="s">
        <v>359</v>
      </c>
      <c r="AC146" s="33" t="s">
        <v>727</v>
      </c>
      <c r="AD146" s="35">
        <v>1559.75</v>
      </c>
      <c r="AE146" s="33" t="s">
        <v>477</v>
      </c>
    </row>
    <row r="147" spans="1:32" ht="12.75" customHeight="1" x14ac:dyDescent="0.2">
      <c r="Z147" s="32">
        <v>55</v>
      </c>
      <c r="AA147" s="33" t="s">
        <v>728</v>
      </c>
      <c r="AB147" t="s">
        <v>359</v>
      </c>
      <c r="AC147" s="33" t="s">
        <v>729</v>
      </c>
      <c r="AD147" s="35">
        <v>1725</v>
      </c>
      <c r="AE147" s="33" t="s">
        <v>456</v>
      </c>
    </row>
    <row r="148" spans="1:32" ht="12.75" customHeight="1" x14ac:dyDescent="0.2">
      <c r="Z148" s="32">
        <v>56</v>
      </c>
      <c r="AA148" s="33" t="s">
        <v>730</v>
      </c>
      <c r="AB148" t="s">
        <v>359</v>
      </c>
      <c r="AC148" s="33" t="s">
        <v>731</v>
      </c>
      <c r="AD148" s="35">
        <v>1617.5</v>
      </c>
      <c r="AE148" s="33" t="s">
        <v>456</v>
      </c>
    </row>
    <row r="149" spans="1:32" ht="12.75" customHeight="1" x14ac:dyDescent="0.2">
      <c r="A149" t="s">
        <v>180</v>
      </c>
      <c r="B149" t="s">
        <v>732</v>
      </c>
      <c r="C149" t="s">
        <v>733</v>
      </c>
      <c r="D149" t="s">
        <v>734</v>
      </c>
      <c r="E149" t="s">
        <v>735</v>
      </c>
      <c r="F149" t="s">
        <v>736</v>
      </c>
      <c r="G149" t="s">
        <v>737</v>
      </c>
      <c r="Z149" s="32">
        <v>57</v>
      </c>
      <c r="AA149" s="33" t="s">
        <v>738</v>
      </c>
      <c r="AB149" t="s">
        <v>359</v>
      </c>
      <c r="AC149" s="33" t="s">
        <v>739</v>
      </c>
      <c r="AD149" s="35">
        <v>1623.52</v>
      </c>
      <c r="AE149" s="33" t="s">
        <v>740</v>
      </c>
    </row>
    <row r="150" spans="1:32" ht="12.75" customHeight="1" x14ac:dyDescent="0.2">
      <c r="A150" t="e">
        <f t="shared" ref="A150:A155" ca="1" si="1">DQ$2</f>
        <v>#REF!</v>
      </c>
      <c r="B150" t="e">
        <f>#REF!</f>
        <v>#REF!</v>
      </c>
      <c r="C150" t="e">
        <f>#REF!</f>
        <v>#REF!</v>
      </c>
      <c r="D150" t="e">
        <f>IF(#REF!="","",#REF!)</f>
        <v>#REF!</v>
      </c>
      <c r="E150" t="e">
        <f>#REF!</f>
        <v>#REF!</v>
      </c>
      <c r="F150" s="82" t="e">
        <f>#REF!</f>
        <v>#REF!</v>
      </c>
      <c r="G150" s="68" t="e">
        <f>#REF!</f>
        <v>#REF!</v>
      </c>
      <c r="Z150" s="32">
        <v>58</v>
      </c>
      <c r="AA150" s="33" t="s">
        <v>741</v>
      </c>
      <c r="AB150" t="s">
        <v>359</v>
      </c>
      <c r="AC150" s="33" t="s">
        <v>742</v>
      </c>
      <c r="AD150" s="35">
        <v>1758.35</v>
      </c>
      <c r="AE150" s="33" t="s">
        <v>740</v>
      </c>
    </row>
    <row r="151" spans="1:32" ht="12.75" customHeight="1" x14ac:dyDescent="0.2">
      <c r="A151" t="e">
        <f t="shared" ca="1" si="1"/>
        <v>#REF!</v>
      </c>
      <c r="B151" t="e">
        <f>#REF!</f>
        <v>#REF!</v>
      </c>
      <c r="C151" t="e">
        <f>#REF!</f>
        <v>#REF!</v>
      </c>
      <c r="D151" t="e">
        <f>IF(#REF!="","",#REF!)</f>
        <v>#REF!</v>
      </c>
      <c r="E151" t="e">
        <f>#REF!</f>
        <v>#REF!</v>
      </c>
      <c r="F151" s="82" t="e">
        <f>#REF!</f>
        <v>#REF!</v>
      </c>
      <c r="G151" s="68" t="e">
        <f>#REF!</f>
        <v>#REF!</v>
      </c>
      <c r="Z151" s="32">
        <v>59</v>
      </c>
      <c r="AA151" s="33" t="s">
        <v>743</v>
      </c>
      <c r="AB151" t="s">
        <v>359</v>
      </c>
      <c r="AC151" s="33" t="s">
        <v>744</v>
      </c>
      <c r="AD151" s="35">
        <v>2194.5</v>
      </c>
      <c r="AE151" s="33" t="s">
        <v>701</v>
      </c>
    </row>
    <row r="152" spans="1:32" ht="12.75" customHeight="1" x14ac:dyDescent="0.2">
      <c r="A152" t="e">
        <f t="shared" ca="1" si="1"/>
        <v>#REF!</v>
      </c>
      <c r="B152" t="e">
        <f>#REF!</f>
        <v>#REF!</v>
      </c>
      <c r="C152" t="e">
        <f>#REF!</f>
        <v>#REF!</v>
      </c>
      <c r="D152" t="e">
        <f>IF(#REF!="","",#REF!)</f>
        <v>#REF!</v>
      </c>
      <c r="E152" t="e">
        <f>#REF!</f>
        <v>#REF!</v>
      </c>
      <c r="F152" s="82" t="e">
        <f>#REF!</f>
        <v>#REF!</v>
      </c>
      <c r="G152" s="68" t="e">
        <f>#REF!</f>
        <v>#REF!</v>
      </c>
      <c r="Z152" s="32">
        <v>60</v>
      </c>
      <c r="AA152" s="33" t="s">
        <v>745</v>
      </c>
      <c r="AB152" t="s">
        <v>359</v>
      </c>
      <c r="AC152" s="33" t="s">
        <v>746</v>
      </c>
      <c r="AD152" s="35">
        <v>1826.92</v>
      </c>
      <c r="AE152" s="33" t="s">
        <v>747</v>
      </c>
    </row>
    <row r="153" spans="1:32" ht="12.75" customHeight="1" x14ac:dyDescent="0.2">
      <c r="A153" t="e">
        <f t="shared" ca="1" si="1"/>
        <v>#REF!</v>
      </c>
      <c r="B153" t="e">
        <f>#REF!</f>
        <v>#REF!</v>
      </c>
      <c r="C153" t="e">
        <f>#REF!</f>
        <v>#REF!</v>
      </c>
      <c r="D153" t="e">
        <f>IF(#REF!="","",#REF!)</f>
        <v>#REF!</v>
      </c>
      <c r="E153" t="e">
        <f>#REF!</f>
        <v>#REF!</v>
      </c>
      <c r="F153" s="82" t="e">
        <f>#REF!</f>
        <v>#REF!</v>
      </c>
      <c r="G153" s="68" t="e">
        <f>#REF!</f>
        <v>#REF!</v>
      </c>
      <c r="Z153" s="32">
        <v>61</v>
      </c>
      <c r="AA153" s="33" t="s">
        <v>748</v>
      </c>
      <c r="AB153" t="s">
        <v>359</v>
      </c>
      <c r="AC153" s="33" t="s">
        <v>749</v>
      </c>
      <c r="AD153" s="35">
        <v>1548.37</v>
      </c>
      <c r="AE153" s="33" t="s">
        <v>701</v>
      </c>
    </row>
    <row r="154" spans="1:32" ht="12.75" customHeight="1" x14ac:dyDescent="0.2">
      <c r="A154" t="e">
        <f t="shared" ca="1" si="1"/>
        <v>#REF!</v>
      </c>
      <c r="B154" t="e">
        <f>#REF!</f>
        <v>#REF!</v>
      </c>
      <c r="C154" t="e">
        <f>#REF!</f>
        <v>#REF!</v>
      </c>
      <c r="D154" t="e">
        <f>IF(#REF!="","",#REF!)</f>
        <v>#REF!</v>
      </c>
      <c r="E154" t="e">
        <f>#REF!</f>
        <v>#REF!</v>
      </c>
      <c r="F154" s="82" t="e">
        <f>#REF!</f>
        <v>#REF!</v>
      </c>
      <c r="G154" s="68" t="e">
        <f>#REF!</f>
        <v>#REF!</v>
      </c>
      <c r="Z154" s="32">
        <v>62</v>
      </c>
      <c r="AA154" s="33" t="s">
        <v>750</v>
      </c>
      <c r="AB154" t="s">
        <v>359</v>
      </c>
      <c r="AC154" s="33" t="s">
        <v>751</v>
      </c>
      <c r="AD154" s="35">
        <v>1388.42</v>
      </c>
      <c r="AE154" s="33" t="s">
        <v>701</v>
      </c>
    </row>
    <row r="155" spans="1:32" ht="12.75" customHeight="1" x14ac:dyDescent="0.2">
      <c r="A155" t="e">
        <f t="shared" ca="1" si="1"/>
        <v>#REF!</v>
      </c>
      <c r="B155" t="e">
        <f>#REF!</f>
        <v>#REF!</v>
      </c>
      <c r="C155" t="e">
        <f>#REF!</f>
        <v>#REF!</v>
      </c>
      <c r="D155" t="e">
        <f>IF(#REF!="","",#REF!)</f>
        <v>#REF!</v>
      </c>
      <c r="E155" t="e">
        <f>#REF!</f>
        <v>#REF!</v>
      </c>
      <c r="F155" s="82" t="e">
        <f>#REF!</f>
        <v>#REF!</v>
      </c>
      <c r="G155" s="68" t="e">
        <f>#REF!</f>
        <v>#REF!</v>
      </c>
      <c r="Z155" s="32">
        <v>99</v>
      </c>
      <c r="AA155" s="33" t="s">
        <v>752</v>
      </c>
      <c r="AB155" t="s">
        <v>359</v>
      </c>
      <c r="AC155" s="33" t="s">
        <v>753</v>
      </c>
      <c r="AD155" s="35">
        <v>1509.4</v>
      </c>
      <c r="AE155" s="33" t="s">
        <v>701</v>
      </c>
    </row>
    <row r="156" spans="1:32" ht="12.75" customHeight="1" x14ac:dyDescent="0.2">
      <c r="B156" t="e">
        <f>#REF!</f>
        <v>#REF!</v>
      </c>
      <c r="C156" t="e">
        <f>#REF!</f>
        <v>#REF!</v>
      </c>
      <c r="D156" t="e">
        <f>IF(#REF!="","",#REF!)</f>
        <v>#REF!</v>
      </c>
      <c r="E156" t="e">
        <f>#REF!</f>
        <v>#REF!</v>
      </c>
      <c r="F156" s="82" t="e">
        <f>#REF!</f>
        <v>#REF!</v>
      </c>
      <c r="G156" s="68" t="e">
        <f>#REF!</f>
        <v>#REF!</v>
      </c>
      <c r="Z156" s="32">
        <v>100</v>
      </c>
      <c r="AA156" s="33" t="s">
        <v>754</v>
      </c>
      <c r="AB156" t="s">
        <v>359</v>
      </c>
      <c r="AC156" s="33" t="s">
        <v>755</v>
      </c>
      <c r="AD156" s="35">
        <v>557.5</v>
      </c>
      <c r="AE156" s="33" t="s">
        <v>701</v>
      </c>
      <c r="AF156" s="33" t="s">
        <v>454</v>
      </c>
    </row>
    <row r="157" spans="1:32" ht="12.75" customHeight="1" x14ac:dyDescent="0.2">
      <c r="Z157" s="32">
        <v>101</v>
      </c>
      <c r="AA157" s="33" t="s">
        <v>756</v>
      </c>
      <c r="AB157" t="s">
        <v>359</v>
      </c>
      <c r="AC157" s="33" t="s">
        <v>757</v>
      </c>
      <c r="AD157" s="35">
        <v>1034.01</v>
      </c>
      <c r="AE157" s="33" t="s">
        <v>701</v>
      </c>
    </row>
    <row r="158" spans="1:32" ht="12.75" customHeight="1" x14ac:dyDescent="0.2">
      <c r="A158" t="s">
        <v>180</v>
      </c>
      <c r="B158" t="s">
        <v>758</v>
      </c>
      <c r="C158" s="25" t="s">
        <v>259</v>
      </c>
      <c r="D158" s="25" t="s">
        <v>759</v>
      </c>
      <c r="E158" s="25" t="s">
        <v>191</v>
      </c>
      <c r="F158" s="25" t="s">
        <v>760</v>
      </c>
      <c r="G158" s="25" t="s">
        <v>696</v>
      </c>
      <c r="H158" s="25" t="s">
        <v>590</v>
      </c>
      <c r="I158" s="25" t="s">
        <v>761</v>
      </c>
      <c r="J158" s="25" t="s">
        <v>762</v>
      </c>
      <c r="K158" s="25" t="s">
        <v>763</v>
      </c>
      <c r="Z158" s="32">
        <v>115</v>
      </c>
      <c r="AA158" s="33" t="s">
        <v>764</v>
      </c>
      <c r="AB158" t="s">
        <v>359</v>
      </c>
      <c r="AC158" s="33" t="s">
        <v>765</v>
      </c>
      <c r="AD158" s="35">
        <v>2014.78</v>
      </c>
      <c r="AE158" s="33" t="s">
        <v>456</v>
      </c>
    </row>
    <row r="159" spans="1:32" ht="12.75" customHeight="1" x14ac:dyDescent="0.2">
      <c r="A159" t="e">
        <f t="shared" ref="A159:A164" ca="1" si="2">DQ$2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s="82" t="e">
        <f>#REF!</f>
        <v>#REF!</v>
      </c>
      <c r="H159" s="64" t="e">
        <f>#REF!</f>
        <v>#REF!</v>
      </c>
      <c r="I159" s="64" t="e">
        <f>#REF!</f>
        <v>#REF!</v>
      </c>
      <c r="J159" s="82" t="e">
        <f>#REF!</f>
        <v>#REF!</v>
      </c>
      <c r="K159" t="e">
        <f>#REF!</f>
        <v>#REF!</v>
      </c>
      <c r="Z159" s="32">
        <v>102</v>
      </c>
      <c r="AA159" s="33" t="s">
        <v>766</v>
      </c>
      <c r="AB159" t="s">
        <v>359</v>
      </c>
      <c r="AC159" s="33" t="s">
        <v>767</v>
      </c>
      <c r="AD159" s="35">
        <v>1764.26</v>
      </c>
      <c r="AE159" s="33" t="s">
        <v>701</v>
      </c>
    </row>
    <row r="160" spans="1:32" ht="12.75" customHeight="1" x14ac:dyDescent="0.2">
      <c r="A160" t="e">
        <f t="shared" ca="1" si="2"/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s="82" t="e">
        <f>#REF!</f>
        <v>#REF!</v>
      </c>
      <c r="H160" s="64" t="e">
        <f>#REF!</f>
        <v>#REF!</v>
      </c>
      <c r="I160" s="64" t="e">
        <f>#REF!</f>
        <v>#REF!</v>
      </c>
      <c r="J160" s="82" t="e">
        <f>#REF!</f>
        <v>#REF!</v>
      </c>
      <c r="K160" t="e">
        <f>#REF!</f>
        <v>#REF!</v>
      </c>
      <c r="Z160" s="32">
        <v>103</v>
      </c>
      <c r="AA160" s="33" t="s">
        <v>768</v>
      </c>
      <c r="AB160" t="s">
        <v>359</v>
      </c>
      <c r="AC160" s="33" t="s">
        <v>769</v>
      </c>
      <c r="AD160" s="35">
        <v>2442.04</v>
      </c>
      <c r="AE160" s="33" t="s">
        <v>456</v>
      </c>
    </row>
    <row r="161" spans="1:31" ht="12.75" customHeight="1" x14ac:dyDescent="0.2">
      <c r="A161" t="e">
        <f t="shared" ca="1" si="2"/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s="82" t="e">
        <f>#REF!</f>
        <v>#REF!</v>
      </c>
      <c r="H161" s="64" t="e">
        <f>#REF!</f>
        <v>#REF!</v>
      </c>
      <c r="I161" s="64" t="e">
        <f>#REF!</f>
        <v>#REF!</v>
      </c>
      <c r="J161" s="82" t="e">
        <f>#REF!</f>
        <v>#REF!</v>
      </c>
      <c r="K161" t="e">
        <f>#REF!</f>
        <v>#REF!</v>
      </c>
      <c r="Z161" s="32">
        <v>104</v>
      </c>
      <c r="AA161" s="33" t="s">
        <v>770</v>
      </c>
      <c r="AB161" t="s">
        <v>359</v>
      </c>
      <c r="AC161" s="33" t="s">
        <v>771</v>
      </c>
      <c r="AD161" s="35">
        <v>1421.2</v>
      </c>
      <c r="AE161" s="33" t="s">
        <v>701</v>
      </c>
    </row>
    <row r="162" spans="1:31" ht="12.75" customHeight="1" x14ac:dyDescent="0.2">
      <c r="A162" t="e">
        <f t="shared" ca="1" si="2"/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s="82" t="e">
        <f>#REF!</f>
        <v>#REF!</v>
      </c>
      <c r="H162" s="64" t="e">
        <f>#REF!</f>
        <v>#REF!</v>
      </c>
      <c r="I162" s="64" t="e">
        <f>#REF!</f>
        <v>#REF!</v>
      </c>
      <c r="J162" s="82" t="e">
        <f>#REF!</f>
        <v>#REF!</v>
      </c>
      <c r="K162" t="e">
        <f>#REF!</f>
        <v>#REF!</v>
      </c>
      <c r="Z162" s="32">
        <v>105</v>
      </c>
      <c r="AA162" s="33" t="s">
        <v>772</v>
      </c>
      <c r="AB162" t="s">
        <v>359</v>
      </c>
      <c r="AC162" s="33" t="s">
        <v>773</v>
      </c>
      <c r="AD162" s="35">
        <v>2170</v>
      </c>
      <c r="AE162" s="33" t="s">
        <v>456</v>
      </c>
    </row>
    <row r="163" spans="1:31" ht="12.75" customHeight="1" x14ac:dyDescent="0.2">
      <c r="A163" t="e">
        <f t="shared" ca="1" si="2"/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s="82" t="e">
        <f>#REF!</f>
        <v>#REF!</v>
      </c>
      <c r="H163" s="64" t="e">
        <f>#REF!</f>
        <v>#REF!</v>
      </c>
      <c r="I163" s="64" t="e">
        <f>#REF!</f>
        <v>#REF!</v>
      </c>
      <c r="J163" s="82" t="e">
        <f>#REF!</f>
        <v>#REF!</v>
      </c>
      <c r="K163" t="e">
        <f>#REF!</f>
        <v>#REF!</v>
      </c>
      <c r="Z163" s="32">
        <v>106</v>
      </c>
      <c r="AA163" s="33" t="s">
        <v>774</v>
      </c>
      <c r="AB163" t="s">
        <v>359</v>
      </c>
      <c r="AC163" s="33" t="s">
        <v>775</v>
      </c>
      <c r="AD163" s="35">
        <v>2575</v>
      </c>
      <c r="AE163" s="33" t="s">
        <v>456</v>
      </c>
    </row>
    <row r="164" spans="1:31" ht="12.75" customHeight="1" x14ac:dyDescent="0.2">
      <c r="A164" t="e">
        <f t="shared" ca="1" si="2"/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s="82" t="e">
        <f>#REF!</f>
        <v>#REF!</v>
      </c>
      <c r="H164" s="64" t="e">
        <f>#REF!</f>
        <v>#REF!</v>
      </c>
      <c r="I164" s="64" t="e">
        <f>#REF!</f>
        <v>#REF!</v>
      </c>
      <c r="J164" s="82" t="e">
        <f>#REF!</f>
        <v>#REF!</v>
      </c>
      <c r="K164" t="e">
        <f>#REF!</f>
        <v>#REF!</v>
      </c>
      <c r="Z164" s="32">
        <v>89</v>
      </c>
      <c r="AA164" s="33" t="s">
        <v>776</v>
      </c>
      <c r="AB164" t="s">
        <v>359</v>
      </c>
      <c r="AC164" s="33" t="s">
        <v>777</v>
      </c>
      <c r="AD164" s="35">
        <v>2292.27</v>
      </c>
      <c r="AE164" s="33" t="s">
        <v>456</v>
      </c>
    </row>
    <row r="165" spans="1:31" ht="12.75" customHeight="1" x14ac:dyDescent="0.2">
      <c r="Z165" s="32">
        <v>90</v>
      </c>
      <c r="AA165" s="33" t="s">
        <v>778</v>
      </c>
      <c r="AB165" t="s">
        <v>359</v>
      </c>
      <c r="AC165" s="33" t="s">
        <v>779</v>
      </c>
      <c r="AD165" s="35">
        <v>2138.91</v>
      </c>
      <c r="AE165" s="33" t="s">
        <v>456</v>
      </c>
    </row>
    <row r="166" spans="1:31" ht="12.75" customHeight="1" x14ac:dyDescent="0.2">
      <c r="A166" t="s">
        <v>180</v>
      </c>
      <c r="B166" t="s">
        <v>780</v>
      </c>
      <c r="C166" t="s">
        <v>781</v>
      </c>
      <c r="D166" t="s">
        <v>782</v>
      </c>
      <c r="E166" t="s">
        <v>783</v>
      </c>
      <c r="F166" t="s">
        <v>784</v>
      </c>
      <c r="G166" t="s">
        <v>785</v>
      </c>
      <c r="H166" t="s">
        <v>786</v>
      </c>
      <c r="I166" t="s">
        <v>787</v>
      </c>
      <c r="J166" t="s">
        <v>788</v>
      </c>
      <c r="K166" t="s">
        <v>789</v>
      </c>
      <c r="L166" t="s">
        <v>790</v>
      </c>
      <c r="M166" t="s">
        <v>791</v>
      </c>
      <c r="N166" t="s">
        <v>792</v>
      </c>
      <c r="O166" t="s">
        <v>793</v>
      </c>
      <c r="P166" t="s">
        <v>794</v>
      </c>
      <c r="Q166" t="s">
        <v>795</v>
      </c>
      <c r="R166" t="s">
        <v>796</v>
      </c>
      <c r="S166" t="s">
        <v>797</v>
      </c>
      <c r="T166" t="s">
        <v>798</v>
      </c>
      <c r="U166" t="s">
        <v>799</v>
      </c>
      <c r="V166" t="s">
        <v>800</v>
      </c>
      <c r="W166" t="s">
        <v>801</v>
      </c>
      <c r="X166" t="s">
        <v>802</v>
      </c>
      <c r="Z166" s="32">
        <v>91</v>
      </c>
      <c r="AA166" s="33" t="s">
        <v>803</v>
      </c>
      <c r="AB166" t="s">
        <v>359</v>
      </c>
      <c r="AC166" s="33" t="s">
        <v>804</v>
      </c>
      <c r="AD166" s="35">
        <v>2543.92</v>
      </c>
      <c r="AE166" s="33" t="s">
        <v>456</v>
      </c>
    </row>
    <row r="167" spans="1:31" ht="12.75" customHeight="1" x14ac:dyDescent="0.2">
      <c r="A167" t="e">
        <f t="shared" ref="A167:A172" ca="1" si="3">DQ$2</f>
        <v>#REF!</v>
      </c>
      <c r="B167" t="e">
        <f>#REF!</f>
        <v>#REF!</v>
      </c>
      <c r="C167" t="e">
        <f>IF(#REF!="","",#REF!)</f>
        <v>#REF!</v>
      </c>
      <c r="D167" t="e">
        <f>#REF!</f>
        <v>#REF!</v>
      </c>
      <c r="E167" t="e">
        <f t="shared" ref="E167:E172" ca="1" si="4">IF(F167="",0,INDEX(OFFSET(PRP,,-1,,),MATCH(F167,PRP,0)))</f>
        <v>#REF!</v>
      </c>
      <c r="F167" t="e">
        <f>IF(#REF!="","",#REF!)</f>
        <v>#REF!</v>
      </c>
      <c r="G167" t="e">
        <f ca="1">IF(F167="","",INDEX(OFFSET(PRP,,2,,),MATCH(F167,PRP,0)))</f>
        <v>#REF!</v>
      </c>
      <c r="H167" t="e">
        <f>#REF!</f>
        <v>#REF!</v>
      </c>
      <c r="I167" s="24" t="e">
        <f>#REF!</f>
        <v>#REF!</v>
      </c>
      <c r="J167" t="e">
        <f t="shared" ref="J167:J172" ca="1" si="5">INDEX(OFFSET(Unite,,-1,,),MATCH(K167,Unite,0))</f>
        <v>#REF!</v>
      </c>
      <c r="K167" t="e">
        <f>#REF!</f>
        <v>#REF!</v>
      </c>
      <c r="L167" s="69" t="e">
        <f>#REF!</f>
        <v>#REF!</v>
      </c>
      <c r="M167" s="34" t="e">
        <f>#REF!*#REF!</f>
        <v>#REF!</v>
      </c>
      <c r="N167" t="e">
        <f>#REF!</f>
        <v>#REF!</v>
      </c>
      <c r="O167" t="e">
        <f>#REF!</f>
        <v>#REF!</v>
      </c>
      <c r="P167" t="e">
        <f t="shared" ref="P167:P172" ca="1" si="6">IF(Q167="",0,INDEX(OFFSET(PRP,,-1,,),MATCH(Q167,PRP,0)))</f>
        <v>#REF!</v>
      </c>
      <c r="Q167" t="e">
        <f>IF(#REF!="","",#REF!)</f>
        <v>#REF!</v>
      </c>
      <c r="R167" t="e">
        <f t="shared" ref="R167:R172" ca="1" si="7">IF(Q167="","",INDEX(OFFSET(PRP,,2,,),MATCH(Q167,PRP,0)))</f>
        <v>#REF!</v>
      </c>
      <c r="S167" t="e">
        <f>#REF!</f>
        <v>#REF!</v>
      </c>
      <c r="T167" t="e">
        <f>#REF!</f>
        <v>#REF!</v>
      </c>
      <c r="U167" t="e">
        <f t="shared" ref="U167:U172" ca="1" si="8">INDEX(OFFSET(Unite,,-1,,),MATCH(V167,Unite,0))</f>
        <v>#REF!</v>
      </c>
      <c r="V167" t="e">
        <f>#REF!</f>
        <v>#REF!</v>
      </c>
      <c r="W167" t="e">
        <f>#REF!*#REF!</f>
        <v>#REF!</v>
      </c>
      <c r="X167" t="e">
        <f>#REF!</f>
        <v>#REF!</v>
      </c>
      <c r="Z167" s="32">
        <v>107</v>
      </c>
      <c r="AA167" s="33" t="s">
        <v>805</v>
      </c>
      <c r="AB167" t="s">
        <v>359</v>
      </c>
      <c r="AC167" s="33" t="s">
        <v>806</v>
      </c>
      <c r="AD167" s="35">
        <v>2060</v>
      </c>
      <c r="AE167" s="33" t="s">
        <v>456</v>
      </c>
    </row>
    <row r="168" spans="1:31" ht="12.75" customHeight="1" x14ac:dyDescent="0.2">
      <c r="A168" t="e">
        <f t="shared" ca="1" si="3"/>
        <v>#REF!</v>
      </c>
      <c r="B168" t="e">
        <f>#REF!</f>
        <v>#REF!</v>
      </c>
      <c r="C168" t="e">
        <f>IF(#REF!="","",#REF!)</f>
        <v>#REF!</v>
      </c>
      <c r="D168" t="e">
        <f>#REF!</f>
        <v>#REF!</v>
      </c>
      <c r="E168" t="e">
        <f t="shared" ca="1" si="4"/>
        <v>#REF!</v>
      </c>
      <c r="F168" t="e">
        <f>IF(#REF!="","",#REF!)</f>
        <v>#REF!</v>
      </c>
      <c r="H168" t="e">
        <f>#REF!</f>
        <v>#REF!</v>
      </c>
      <c r="I168" s="24" t="e">
        <f>#REF!</f>
        <v>#REF!</v>
      </c>
      <c r="J168" t="e">
        <f t="shared" ca="1" si="5"/>
        <v>#REF!</v>
      </c>
      <c r="K168" t="e">
        <f>#REF!</f>
        <v>#REF!</v>
      </c>
      <c r="L168" s="69" t="e">
        <f>#REF!</f>
        <v>#REF!</v>
      </c>
      <c r="M168" s="34" t="e">
        <f>#REF!*#REF!</f>
        <v>#REF!</v>
      </c>
      <c r="N168" t="e">
        <f>#REF!</f>
        <v>#REF!</v>
      </c>
      <c r="O168" t="e">
        <f>#REF!</f>
        <v>#REF!</v>
      </c>
      <c r="P168" t="e">
        <f t="shared" ca="1" si="6"/>
        <v>#REF!</v>
      </c>
      <c r="Q168" t="e">
        <f>IF(#REF!="","",#REF!)</f>
        <v>#REF!</v>
      </c>
      <c r="R168" t="e">
        <f t="shared" ca="1" si="7"/>
        <v>#REF!</v>
      </c>
      <c r="S168" t="e">
        <f>#REF!</f>
        <v>#REF!</v>
      </c>
      <c r="T168" t="e">
        <f>#REF!</f>
        <v>#REF!</v>
      </c>
      <c r="U168" t="e">
        <f t="shared" ca="1" si="8"/>
        <v>#REF!</v>
      </c>
      <c r="V168" t="e">
        <f>#REF!</f>
        <v>#REF!</v>
      </c>
      <c r="W168" t="e">
        <f>#REF!*#REF!</f>
        <v>#REF!</v>
      </c>
      <c r="X168" t="e">
        <f>#REF!</f>
        <v>#REF!</v>
      </c>
      <c r="Z168" s="32">
        <v>108</v>
      </c>
      <c r="AA168" s="33" t="s">
        <v>807</v>
      </c>
      <c r="AB168" t="s">
        <v>359</v>
      </c>
      <c r="AC168" s="33" t="s">
        <v>808</v>
      </c>
      <c r="AD168" s="35">
        <v>2183.87</v>
      </c>
      <c r="AE168" s="33" t="s">
        <v>809</v>
      </c>
    </row>
    <row r="169" spans="1:31" ht="12.75" customHeight="1" x14ac:dyDescent="0.2">
      <c r="A169" t="e">
        <f t="shared" ca="1" si="3"/>
        <v>#REF!</v>
      </c>
      <c r="B169" t="e">
        <f>#REF!</f>
        <v>#REF!</v>
      </c>
      <c r="C169" t="e">
        <f>IF(#REF!="","",#REF!)</f>
        <v>#REF!</v>
      </c>
      <c r="D169" t="e">
        <f>#REF!</f>
        <v>#REF!</v>
      </c>
      <c r="E169" t="e">
        <f t="shared" ca="1" si="4"/>
        <v>#REF!</v>
      </c>
      <c r="F169" t="e">
        <f>IF(#REF!="","",#REF!)</f>
        <v>#REF!</v>
      </c>
      <c r="H169" t="e">
        <f>#REF!</f>
        <v>#REF!</v>
      </c>
      <c r="I169" s="24" t="e">
        <f>#REF!</f>
        <v>#REF!</v>
      </c>
      <c r="J169" t="e">
        <f t="shared" ca="1" si="5"/>
        <v>#REF!</v>
      </c>
      <c r="K169" t="e">
        <f>#REF!</f>
        <v>#REF!</v>
      </c>
      <c r="L169" s="69" t="e">
        <f>#REF!</f>
        <v>#REF!</v>
      </c>
      <c r="M169" s="34" t="e">
        <f>#REF!*#REF!</f>
        <v>#REF!</v>
      </c>
      <c r="N169" t="e">
        <f>#REF!</f>
        <v>#REF!</v>
      </c>
      <c r="O169" t="e">
        <f>#REF!</f>
        <v>#REF!</v>
      </c>
      <c r="P169" t="e">
        <f t="shared" ca="1" si="6"/>
        <v>#REF!</v>
      </c>
      <c r="Q169" t="e">
        <f>IF(#REF!="","",#REF!)</f>
        <v>#REF!</v>
      </c>
      <c r="R169" t="e">
        <f t="shared" ca="1" si="7"/>
        <v>#REF!</v>
      </c>
      <c r="S169" t="e">
        <f>#REF!</f>
        <v>#REF!</v>
      </c>
      <c r="T169" t="e">
        <f>#REF!</f>
        <v>#REF!</v>
      </c>
      <c r="U169" t="e">
        <f t="shared" ca="1" si="8"/>
        <v>#REF!</v>
      </c>
      <c r="V169" t="e">
        <f>#REF!</f>
        <v>#REF!</v>
      </c>
      <c r="W169" t="e">
        <f>#REF!*#REF!</f>
        <v>#REF!</v>
      </c>
      <c r="X169" t="e">
        <f>#REF!</f>
        <v>#REF!</v>
      </c>
      <c r="Z169" s="32">
        <v>109</v>
      </c>
      <c r="AA169" s="33" t="s">
        <v>810</v>
      </c>
      <c r="AB169" t="s">
        <v>359</v>
      </c>
      <c r="AC169" s="33" t="s">
        <v>811</v>
      </c>
      <c r="AD169" s="35">
        <v>1371.75</v>
      </c>
      <c r="AE169" s="33" t="s">
        <v>456</v>
      </c>
    </row>
    <row r="170" spans="1:31" ht="12.75" customHeight="1" x14ac:dyDescent="0.2">
      <c r="A170" t="e">
        <f t="shared" ca="1" si="3"/>
        <v>#REF!</v>
      </c>
      <c r="B170" t="e">
        <f>#REF!</f>
        <v>#REF!</v>
      </c>
      <c r="C170" t="e">
        <f>IF(#REF!="","",#REF!)</f>
        <v>#REF!</v>
      </c>
      <c r="D170" t="e">
        <f>#REF!</f>
        <v>#REF!</v>
      </c>
      <c r="E170" t="e">
        <f t="shared" ca="1" si="4"/>
        <v>#REF!</v>
      </c>
      <c r="F170" t="e">
        <f>IF(#REF!="","",#REF!)</f>
        <v>#REF!</v>
      </c>
      <c r="H170" t="e">
        <f>#REF!</f>
        <v>#REF!</v>
      </c>
      <c r="I170" s="24" t="e">
        <f>#REF!</f>
        <v>#REF!</v>
      </c>
      <c r="J170" t="e">
        <f t="shared" ca="1" si="5"/>
        <v>#REF!</v>
      </c>
      <c r="K170" t="e">
        <f>#REF!</f>
        <v>#REF!</v>
      </c>
      <c r="L170" s="69" t="e">
        <f>#REF!</f>
        <v>#REF!</v>
      </c>
      <c r="M170" s="34" t="e">
        <f>#REF!*#REF!</f>
        <v>#REF!</v>
      </c>
      <c r="N170" t="e">
        <f>#REF!</f>
        <v>#REF!</v>
      </c>
      <c r="O170" t="e">
        <f>#REF!</f>
        <v>#REF!</v>
      </c>
      <c r="P170" t="e">
        <f t="shared" ca="1" si="6"/>
        <v>#REF!</v>
      </c>
      <c r="Q170" t="e">
        <f>IF(#REF!="","",#REF!)</f>
        <v>#REF!</v>
      </c>
      <c r="R170" t="e">
        <f t="shared" ca="1" si="7"/>
        <v>#REF!</v>
      </c>
      <c r="S170" t="e">
        <f>#REF!</f>
        <v>#REF!</v>
      </c>
      <c r="T170" t="e">
        <f>#REF!</f>
        <v>#REF!</v>
      </c>
      <c r="U170" t="e">
        <f t="shared" ca="1" si="8"/>
        <v>#REF!</v>
      </c>
      <c r="V170" t="e">
        <f>#REF!</f>
        <v>#REF!</v>
      </c>
      <c r="W170" t="e">
        <f>#REF!*#REF!</f>
        <v>#REF!</v>
      </c>
      <c r="X170" t="e">
        <f>#REF!</f>
        <v>#REF!</v>
      </c>
      <c r="Z170" s="32">
        <v>110</v>
      </c>
      <c r="AA170" s="33" t="s">
        <v>812</v>
      </c>
      <c r="AB170" t="s">
        <v>359</v>
      </c>
      <c r="AC170" s="33" t="s">
        <v>813</v>
      </c>
      <c r="AD170" s="35">
        <v>1374.73</v>
      </c>
      <c r="AE170" s="33" t="s">
        <v>456</v>
      </c>
    </row>
    <row r="171" spans="1:31" ht="12.75" customHeight="1" x14ac:dyDescent="0.2">
      <c r="A171" t="e">
        <f t="shared" ca="1" si="3"/>
        <v>#REF!</v>
      </c>
      <c r="B171" t="e">
        <f>#REF!</f>
        <v>#REF!</v>
      </c>
      <c r="C171" t="e">
        <f>IF(#REF!="","",#REF!)</f>
        <v>#REF!</v>
      </c>
      <c r="D171" t="e">
        <f>#REF!</f>
        <v>#REF!</v>
      </c>
      <c r="E171" t="e">
        <f t="shared" ca="1" si="4"/>
        <v>#REF!</v>
      </c>
      <c r="F171" t="e">
        <f>IF(#REF!="","",#REF!)</f>
        <v>#REF!</v>
      </c>
      <c r="H171" t="e">
        <f>#REF!</f>
        <v>#REF!</v>
      </c>
      <c r="I171" s="24" t="e">
        <f>#REF!</f>
        <v>#REF!</v>
      </c>
      <c r="J171" t="e">
        <f t="shared" ca="1" si="5"/>
        <v>#REF!</v>
      </c>
      <c r="K171" t="e">
        <f>#REF!</f>
        <v>#REF!</v>
      </c>
      <c r="L171" s="69" t="e">
        <f>#REF!</f>
        <v>#REF!</v>
      </c>
      <c r="M171" s="34" t="e">
        <f>#REF!*#REF!</f>
        <v>#REF!</v>
      </c>
      <c r="N171" t="e">
        <f>#REF!</f>
        <v>#REF!</v>
      </c>
      <c r="O171" t="e">
        <f>#REF!</f>
        <v>#REF!</v>
      </c>
      <c r="P171" t="e">
        <f t="shared" ca="1" si="6"/>
        <v>#REF!</v>
      </c>
      <c r="Q171" t="e">
        <f>IF(#REF!="","",#REF!)</f>
        <v>#REF!</v>
      </c>
      <c r="R171" t="e">
        <f t="shared" ca="1" si="7"/>
        <v>#REF!</v>
      </c>
      <c r="S171" t="e">
        <f>#REF!</f>
        <v>#REF!</v>
      </c>
      <c r="T171" t="e">
        <f>#REF!</f>
        <v>#REF!</v>
      </c>
      <c r="U171" t="e">
        <f t="shared" ca="1" si="8"/>
        <v>#REF!</v>
      </c>
      <c r="V171" t="e">
        <f>#REF!</f>
        <v>#REF!</v>
      </c>
      <c r="W171" t="e">
        <f>#REF!*#REF!</f>
        <v>#REF!</v>
      </c>
      <c r="X171" t="e">
        <f>#REF!</f>
        <v>#REF!</v>
      </c>
      <c r="Z171" s="32">
        <v>111</v>
      </c>
      <c r="AA171" s="33" t="s">
        <v>814</v>
      </c>
      <c r="AB171" t="s">
        <v>359</v>
      </c>
      <c r="AC171" s="33" t="s">
        <v>815</v>
      </c>
      <c r="AD171" s="35">
        <v>1827.5</v>
      </c>
      <c r="AE171" s="33" t="s">
        <v>456</v>
      </c>
    </row>
    <row r="172" spans="1:31" ht="12.75" customHeight="1" x14ac:dyDescent="0.2">
      <c r="A172" t="e">
        <f t="shared" ca="1" si="3"/>
        <v>#REF!</v>
      </c>
      <c r="B172" t="e">
        <f>#REF!</f>
        <v>#REF!</v>
      </c>
      <c r="C172" t="e">
        <f>IF(#REF!="","",#REF!)</f>
        <v>#REF!</v>
      </c>
      <c r="D172" t="e">
        <f>#REF!</f>
        <v>#REF!</v>
      </c>
      <c r="E172" t="e">
        <f t="shared" ca="1" si="4"/>
        <v>#REF!</v>
      </c>
      <c r="F172" t="e">
        <f>IF(#REF!="","",#REF!)</f>
        <v>#REF!</v>
      </c>
      <c r="H172" t="e">
        <f>#REF!</f>
        <v>#REF!</v>
      </c>
      <c r="I172" s="24" t="e">
        <f>#REF!</f>
        <v>#REF!</v>
      </c>
      <c r="J172" t="e">
        <f t="shared" ca="1" si="5"/>
        <v>#REF!</v>
      </c>
      <c r="K172" t="e">
        <f>#REF!</f>
        <v>#REF!</v>
      </c>
      <c r="L172" s="69" t="e">
        <f>#REF!</f>
        <v>#REF!</v>
      </c>
      <c r="M172" s="34" t="e">
        <f>#REF!*#REF!</f>
        <v>#REF!</v>
      </c>
      <c r="N172" t="e">
        <f>#REF!</f>
        <v>#REF!</v>
      </c>
      <c r="O172" t="e">
        <f>#REF!</f>
        <v>#REF!</v>
      </c>
      <c r="P172" t="e">
        <f t="shared" ca="1" si="6"/>
        <v>#REF!</v>
      </c>
      <c r="Q172" t="e">
        <f>IF(#REF!="","",#REF!)</f>
        <v>#REF!</v>
      </c>
      <c r="R172" t="e">
        <f t="shared" ca="1" si="7"/>
        <v>#REF!</v>
      </c>
      <c r="S172" t="e">
        <f>#REF!</f>
        <v>#REF!</v>
      </c>
      <c r="T172" t="e">
        <f>#REF!</f>
        <v>#REF!</v>
      </c>
      <c r="U172" t="e">
        <f t="shared" ca="1" si="8"/>
        <v>#REF!</v>
      </c>
      <c r="V172" t="e">
        <f>#REF!</f>
        <v>#REF!</v>
      </c>
      <c r="W172" t="e">
        <f>#REF!*#REF!</f>
        <v>#REF!</v>
      </c>
      <c r="X172" t="e">
        <f>#REF!</f>
        <v>#REF!</v>
      </c>
      <c r="Z172" s="32">
        <v>112</v>
      </c>
      <c r="AA172" s="33" t="s">
        <v>816</v>
      </c>
      <c r="AB172" t="s">
        <v>359</v>
      </c>
      <c r="AC172" s="33" t="s">
        <v>817</v>
      </c>
      <c r="AD172" s="35">
        <v>2972.78</v>
      </c>
      <c r="AE172" s="33" t="s">
        <v>456</v>
      </c>
    </row>
    <row r="173" spans="1:31" ht="12.75" customHeight="1" x14ac:dyDescent="0.2">
      <c r="F173" s="60"/>
      <c r="H173" s="69"/>
      <c r="Z173" s="32">
        <v>93</v>
      </c>
      <c r="AA173" s="33" t="s">
        <v>818</v>
      </c>
      <c r="AB173" t="s">
        <v>359</v>
      </c>
      <c r="AC173" s="33" t="s">
        <v>819</v>
      </c>
      <c r="AD173" s="35">
        <v>1930.42</v>
      </c>
      <c r="AE173" s="33" t="s">
        <v>747</v>
      </c>
    </row>
    <row r="174" spans="1:31" ht="12.75" customHeight="1" x14ac:dyDescent="0.2">
      <c r="A174" t="s">
        <v>180</v>
      </c>
      <c r="B174" t="s">
        <v>820</v>
      </c>
      <c r="C174" t="s">
        <v>821</v>
      </c>
      <c r="D174" t="s">
        <v>692</v>
      </c>
      <c r="E174" t="s">
        <v>693</v>
      </c>
      <c r="F174" t="s">
        <v>179</v>
      </c>
      <c r="G174" t="s">
        <v>694</v>
      </c>
      <c r="H174" t="s">
        <v>695</v>
      </c>
      <c r="I174" t="s">
        <v>696</v>
      </c>
      <c r="J174" s="60" t="s">
        <v>697</v>
      </c>
      <c r="K174" t="s">
        <v>822</v>
      </c>
      <c r="L174" t="s">
        <v>698</v>
      </c>
      <c r="M174" t="s">
        <v>319</v>
      </c>
      <c r="Z174" s="32">
        <v>63</v>
      </c>
      <c r="AA174" s="33" t="s">
        <v>823</v>
      </c>
      <c r="AB174" t="s">
        <v>359</v>
      </c>
      <c r="AC174" s="33" t="s">
        <v>824</v>
      </c>
      <c r="AD174" s="35">
        <v>8048.18</v>
      </c>
      <c r="AE174" s="33" t="s">
        <v>701</v>
      </c>
    </row>
    <row r="175" spans="1:31" ht="12.75" customHeight="1" x14ac:dyDescent="0.2">
      <c r="A175" t="e">
        <f t="shared" ref="A175:A180" ca="1" si="9">DQ$2</f>
        <v>#REF!</v>
      </c>
      <c r="B175">
        <f t="shared" ref="B175:B180" si="10">IF(E$56=TRUE,5,IF(F$56=TRUE,6,0))</f>
        <v>0</v>
      </c>
      <c r="C175" t="e">
        <f>#REF!</f>
        <v>#REF!</v>
      </c>
      <c r="D175" t="e">
        <f>#REF!</f>
        <v>#REF!</v>
      </c>
      <c r="E175" t="b">
        <v>0</v>
      </c>
      <c r="F175" t="e">
        <f t="shared" ref="F175:F180" ca="1" si="11">IF(AND(DP$2="Agricole",LEFT(C175,2)="52"),"Agricole","Affaires")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s="60" t="e">
        <f>#REF!</f>
        <v>#REF!</v>
      </c>
      <c r="K175" s="59" t="e">
        <f>#REF!</f>
        <v>#REF!</v>
      </c>
      <c r="L175" s="1" t="e">
        <f t="shared" ref="L175:L180" ca="1" si="12">IF(D175&lt;&gt;"Choisir…",INDEX(OFFSET(INDIRECT(AD$30),,1,,),MATCH(D175,INDIRECT(AD$30),0)),"")</f>
        <v>#REF!</v>
      </c>
      <c r="M175" s="1" t="e">
        <f t="shared" ref="M175:M180" ca="1" si="13">IF(D175&lt;&gt;"Choisir…",INDEX(OFFSET(INDIRECT(AD$30),,2,,),MATCH(D175,INDIRECT(AD$30),0)),"")</f>
        <v>#REF!</v>
      </c>
      <c r="Z175" s="32">
        <v>64</v>
      </c>
      <c r="AA175" s="33" t="s">
        <v>825</v>
      </c>
      <c r="AB175" t="s">
        <v>359</v>
      </c>
      <c r="AC175" s="33" t="s">
        <v>826</v>
      </c>
      <c r="AD175" s="35">
        <v>4082.5</v>
      </c>
      <c r="AE175" s="33" t="s">
        <v>701</v>
      </c>
    </row>
    <row r="176" spans="1:31" ht="12.75" customHeight="1" x14ac:dyDescent="0.2">
      <c r="A176" t="e">
        <f t="shared" ca="1" si="9"/>
        <v>#REF!</v>
      </c>
      <c r="B176">
        <f t="shared" si="10"/>
        <v>0</v>
      </c>
      <c r="C176" t="e">
        <f>#REF!</f>
        <v>#REF!</v>
      </c>
      <c r="D176" t="e">
        <f>#REF!</f>
        <v>#REF!</v>
      </c>
      <c r="E176" t="b">
        <v>0</v>
      </c>
      <c r="F176" t="e">
        <f t="shared" ca="1" si="11"/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s="60" t="e">
        <f>#REF!</f>
        <v>#REF!</v>
      </c>
      <c r="K176" s="59" t="e">
        <f>#REF!</f>
        <v>#REF!</v>
      </c>
      <c r="L176" s="1" t="e">
        <f t="shared" ca="1" si="12"/>
        <v>#REF!</v>
      </c>
      <c r="M176" s="1" t="e">
        <f t="shared" ca="1" si="13"/>
        <v>#REF!</v>
      </c>
      <c r="Z176" s="32">
        <v>65</v>
      </c>
      <c r="AA176" s="33" t="s">
        <v>827</v>
      </c>
      <c r="AB176" t="s">
        <v>359</v>
      </c>
      <c r="AC176" s="33" t="s">
        <v>828</v>
      </c>
      <c r="AD176" s="35">
        <v>4656.72</v>
      </c>
      <c r="AE176" s="33" t="s">
        <v>701</v>
      </c>
    </row>
    <row r="177" spans="1:31" ht="12.75" customHeight="1" x14ac:dyDescent="0.2">
      <c r="A177" t="e">
        <f t="shared" ca="1" si="9"/>
        <v>#REF!</v>
      </c>
      <c r="B177">
        <f t="shared" si="10"/>
        <v>0</v>
      </c>
      <c r="C177" t="e">
        <f>#REF!</f>
        <v>#REF!</v>
      </c>
      <c r="D177" t="e">
        <f>#REF!</f>
        <v>#REF!</v>
      </c>
      <c r="E177" t="b">
        <v>0</v>
      </c>
      <c r="F177" t="e">
        <f t="shared" ca="1" si="11"/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s="60" t="e">
        <f>#REF!</f>
        <v>#REF!</v>
      </c>
      <c r="K177" s="59" t="e">
        <f>#REF!</f>
        <v>#REF!</v>
      </c>
      <c r="L177" s="1" t="e">
        <f t="shared" ca="1" si="12"/>
        <v>#REF!</v>
      </c>
      <c r="M177" s="1" t="e">
        <f t="shared" ca="1" si="13"/>
        <v>#REF!</v>
      </c>
      <c r="Z177" s="32">
        <v>66</v>
      </c>
      <c r="AA177" s="33" t="s">
        <v>829</v>
      </c>
      <c r="AB177" t="s">
        <v>359</v>
      </c>
      <c r="AC177" s="33" t="s">
        <v>830</v>
      </c>
      <c r="AD177" s="35">
        <v>13317.3</v>
      </c>
      <c r="AE177" s="33" t="s">
        <v>701</v>
      </c>
    </row>
    <row r="178" spans="1:31" ht="12.75" customHeight="1" x14ac:dyDescent="0.2">
      <c r="A178" t="e">
        <f t="shared" ca="1" si="9"/>
        <v>#REF!</v>
      </c>
      <c r="B178">
        <f t="shared" si="10"/>
        <v>0</v>
      </c>
      <c r="C178" t="e">
        <f>#REF!</f>
        <v>#REF!</v>
      </c>
      <c r="D178" t="e">
        <f>#REF!</f>
        <v>#REF!</v>
      </c>
      <c r="E178" t="b">
        <v>0</v>
      </c>
      <c r="F178" t="e">
        <f t="shared" ca="1" si="11"/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s="60" t="e">
        <f>#REF!</f>
        <v>#REF!</v>
      </c>
      <c r="K178" s="59" t="e">
        <f>#REF!</f>
        <v>#REF!</v>
      </c>
      <c r="L178" s="1" t="e">
        <f t="shared" ca="1" si="12"/>
        <v>#REF!</v>
      </c>
      <c r="M178" s="1" t="e">
        <f t="shared" ca="1" si="13"/>
        <v>#REF!</v>
      </c>
      <c r="Z178" s="32">
        <v>67</v>
      </c>
      <c r="AA178" s="33" t="s">
        <v>831</v>
      </c>
      <c r="AB178" t="s">
        <v>359</v>
      </c>
      <c r="AC178" s="33" t="s">
        <v>832</v>
      </c>
      <c r="AD178" s="35">
        <v>4130.96</v>
      </c>
      <c r="AE178" s="33" t="s">
        <v>701</v>
      </c>
    </row>
    <row r="179" spans="1:31" ht="12.75" customHeight="1" x14ac:dyDescent="0.2">
      <c r="A179" t="e">
        <f t="shared" ca="1" si="9"/>
        <v>#REF!</v>
      </c>
      <c r="B179">
        <f t="shared" si="10"/>
        <v>0</v>
      </c>
      <c r="C179" t="e">
        <f>#REF!</f>
        <v>#REF!</v>
      </c>
      <c r="D179" t="e">
        <f>#REF!</f>
        <v>#REF!</v>
      </c>
      <c r="E179" t="b">
        <v>0</v>
      </c>
      <c r="F179" t="e">
        <f t="shared" ca="1" si="11"/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s="60" t="e">
        <f>#REF!</f>
        <v>#REF!</v>
      </c>
      <c r="K179" s="59" t="e">
        <f>#REF!</f>
        <v>#REF!</v>
      </c>
      <c r="L179" s="1" t="e">
        <f t="shared" ca="1" si="12"/>
        <v>#REF!</v>
      </c>
      <c r="M179" s="1" t="e">
        <f t="shared" ca="1" si="13"/>
        <v>#REF!</v>
      </c>
      <c r="Z179" s="32">
        <v>69</v>
      </c>
      <c r="AA179" s="33" t="s">
        <v>833</v>
      </c>
      <c r="AB179" t="s">
        <v>359</v>
      </c>
      <c r="AC179" s="33" t="s">
        <v>834</v>
      </c>
      <c r="AD179" s="35">
        <v>10175</v>
      </c>
      <c r="AE179" s="33" t="s">
        <v>456</v>
      </c>
    </row>
    <row r="180" spans="1:31" ht="12.75" customHeight="1" x14ac:dyDescent="0.2">
      <c r="A180" t="e">
        <f t="shared" ca="1" si="9"/>
        <v>#REF!</v>
      </c>
      <c r="B180">
        <f t="shared" si="10"/>
        <v>0</v>
      </c>
      <c r="C180" t="e">
        <f>#REF!</f>
        <v>#REF!</v>
      </c>
      <c r="D180" t="e">
        <f>#REF!</f>
        <v>#REF!</v>
      </c>
      <c r="E180" t="b">
        <v>0</v>
      </c>
      <c r="F180" t="e">
        <f t="shared" ca="1" si="11"/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s="60" t="e">
        <f>#REF!</f>
        <v>#REF!</v>
      </c>
      <c r="K180" s="59" t="e">
        <f>#REF!</f>
        <v>#REF!</v>
      </c>
      <c r="L180" s="1" t="e">
        <f t="shared" ca="1" si="12"/>
        <v>#REF!</v>
      </c>
      <c r="M180" s="1" t="e">
        <f t="shared" ca="1" si="13"/>
        <v>#REF!</v>
      </c>
      <c r="Z180" s="32">
        <v>70</v>
      </c>
      <c r="AA180" s="33" t="s">
        <v>835</v>
      </c>
      <c r="AB180" t="s">
        <v>359</v>
      </c>
      <c r="AC180" s="33" t="s">
        <v>836</v>
      </c>
      <c r="AD180" s="35">
        <v>10350</v>
      </c>
      <c r="AE180" s="33" t="s">
        <v>456</v>
      </c>
    </row>
    <row r="181" spans="1:31" ht="12.75" customHeight="1" x14ac:dyDescent="0.2">
      <c r="I181" s="60"/>
      <c r="K181" s="69"/>
      <c r="Z181" s="32">
        <v>71</v>
      </c>
      <c r="AA181" s="33" t="s">
        <v>837</v>
      </c>
      <c r="AB181" t="s">
        <v>359</v>
      </c>
      <c r="AC181" s="33" t="s">
        <v>838</v>
      </c>
      <c r="AD181" s="35">
        <v>4716.3999999999996</v>
      </c>
      <c r="AE181" s="33" t="s">
        <v>456</v>
      </c>
    </row>
    <row r="182" spans="1:31" ht="12.75" customHeight="1" x14ac:dyDescent="0.2">
      <c r="F182" s="60"/>
      <c r="H182" s="69"/>
      <c r="Z182" s="32">
        <v>75</v>
      </c>
      <c r="AA182" s="33" t="s">
        <v>839</v>
      </c>
      <c r="AB182" t="s">
        <v>359</v>
      </c>
      <c r="AC182" s="33" t="s">
        <v>840</v>
      </c>
      <c r="AD182" s="35">
        <v>1400</v>
      </c>
      <c r="AE182" s="33" t="s">
        <v>477</v>
      </c>
    </row>
    <row r="183" spans="1:31" ht="12.75" customHeight="1" x14ac:dyDescent="0.2">
      <c r="Z183" s="32">
        <v>76</v>
      </c>
      <c r="AA183" s="33" t="s">
        <v>841</v>
      </c>
      <c r="AB183" t="s">
        <v>359</v>
      </c>
      <c r="AC183" s="33" t="s">
        <v>842</v>
      </c>
      <c r="AD183" s="35">
        <v>17200</v>
      </c>
      <c r="AE183" s="33" t="s">
        <v>456</v>
      </c>
    </row>
    <row r="184" spans="1:31" ht="12.75" customHeight="1" x14ac:dyDescent="0.2">
      <c r="Z184" s="32">
        <v>82</v>
      </c>
      <c r="AA184" s="33" t="s">
        <v>208</v>
      </c>
      <c r="AB184" t="s">
        <v>359</v>
      </c>
      <c r="AC184" s="33" t="s">
        <v>843</v>
      </c>
      <c r="AD184" s="35">
        <v>0</v>
      </c>
      <c r="AE184" s="33" t="s">
        <v>454</v>
      </c>
    </row>
    <row r="185" spans="1:31" ht="12.75" customHeight="1" x14ac:dyDescent="0.2">
      <c r="P185" s="70" t="s">
        <v>844</v>
      </c>
    </row>
    <row r="186" spans="1:31" ht="12.75" customHeight="1" x14ac:dyDescent="0.2"/>
    <row r="187" spans="1:31" ht="12.75" customHeight="1" x14ac:dyDescent="0.2"/>
    <row r="188" spans="1:31" ht="12.75" customHeight="1" x14ac:dyDescent="0.2"/>
    <row r="189" spans="1:31" ht="12.75" customHeight="1" x14ac:dyDescent="0.2"/>
    <row r="190" spans="1:31" ht="12.75" customHeight="1" x14ac:dyDescent="0.2"/>
    <row r="191" spans="1:31" ht="12.75" customHeight="1" x14ac:dyDescent="0.2"/>
    <row r="192" spans="1:31" ht="12.75" customHeight="1" x14ac:dyDescent="0.2"/>
    <row r="193" spans="7:18" ht="12.75" customHeight="1" x14ac:dyDescent="0.2">
      <c r="G193" t="s">
        <v>180</v>
      </c>
      <c r="H193" s="27" t="s">
        <v>845</v>
      </c>
      <c r="I193" s="27" t="s">
        <v>846</v>
      </c>
      <c r="J193" s="28" t="s">
        <v>847</v>
      </c>
      <c r="K193" s="29" t="s">
        <v>848</v>
      </c>
      <c r="L193" s="29" t="s">
        <v>849</v>
      </c>
      <c r="M193" s="29" t="s">
        <v>850</v>
      </c>
      <c r="N193" s="27" t="s">
        <v>851</v>
      </c>
      <c r="O193" t="s">
        <v>852</v>
      </c>
      <c r="P193" s="66" t="s">
        <v>853</v>
      </c>
      <c r="Q193" s="66" t="s">
        <v>854</v>
      </c>
      <c r="R193" s="66" t="s">
        <v>855</v>
      </c>
    </row>
    <row r="194" spans="7:18" ht="12.75" customHeight="1" x14ac:dyDescent="0.2">
      <c r="G194" t="e">
        <f t="shared" ref="G194:G222" ca="1" si="14">DQ$2</f>
        <v>#REF!</v>
      </c>
      <c r="H194" t="e">
        <f>IF(#REF!="","",#REF!)</f>
        <v>#REF!</v>
      </c>
      <c r="I194" t="e">
        <f>IF(#REF!="","",#REF!)</f>
        <v>#REF!</v>
      </c>
      <c r="J194" t="e">
        <f>IF(#REF!="","",#REF!)</f>
        <v>#REF!</v>
      </c>
      <c r="K194" t="e">
        <f>IF(#REF!="","",#REF!)</f>
        <v>#REF!</v>
      </c>
      <c r="L194" t="e">
        <f>IF(#REF!="","",#REF!)</f>
        <v>#REF!</v>
      </c>
      <c r="M194" t="e">
        <f>IF(#REF!="","",#REF!)</f>
        <v>#REF!</v>
      </c>
      <c r="N194" t="e">
        <f>IF(#REF!="","",#REF!)</f>
        <v>#REF!</v>
      </c>
      <c r="O194" t="e">
        <f>IF(#REF!="","",#REF!)</f>
        <v>#REF!</v>
      </c>
      <c r="P194" t="e">
        <f>IF(#REF!="","",#REF!)</f>
        <v>#REF!</v>
      </c>
      <c r="Q194" t="e">
        <f>IF(#REF!="","",#REF!)</f>
        <v>#REF!</v>
      </c>
      <c r="R194" t="e">
        <f>IF(#REF!="","",#REF!)</f>
        <v>#REF!</v>
      </c>
    </row>
    <row r="195" spans="7:18" x14ac:dyDescent="0.2">
      <c r="G195" t="e">
        <f t="shared" ca="1" si="14"/>
        <v>#REF!</v>
      </c>
      <c r="H195" t="e">
        <f>IF(#REF!="","",#REF!)</f>
        <v>#REF!</v>
      </c>
      <c r="I195" t="e">
        <f>IF(#REF!="","",#REF!)</f>
        <v>#REF!</v>
      </c>
      <c r="J195" t="e">
        <f>IF(#REF!="","",#REF!)</f>
        <v>#REF!</v>
      </c>
      <c r="K195" t="e">
        <f>IF(#REF!="","",#REF!)</f>
        <v>#REF!</v>
      </c>
      <c r="L195" t="e">
        <f>IF(#REF!="","",#REF!)</f>
        <v>#REF!</v>
      </c>
      <c r="M195" t="e">
        <f>IF(#REF!="","",#REF!)</f>
        <v>#REF!</v>
      </c>
      <c r="N195" t="e">
        <f>IF(#REF!="","",#REF!)</f>
        <v>#REF!</v>
      </c>
      <c r="O195" t="e">
        <f>IF(#REF!="","",#REF!)</f>
        <v>#REF!</v>
      </c>
      <c r="P195" t="e">
        <f>IF(#REF!="","",#REF!)</f>
        <v>#REF!</v>
      </c>
      <c r="Q195" t="e">
        <f>IF(#REF!="","",#REF!)</f>
        <v>#REF!</v>
      </c>
      <c r="R195" t="e">
        <f>IF(#REF!="","",#REF!)</f>
        <v>#REF!</v>
      </c>
    </row>
    <row r="196" spans="7:18" x14ac:dyDescent="0.2">
      <c r="G196" t="e">
        <f t="shared" ca="1" si="14"/>
        <v>#REF!</v>
      </c>
      <c r="H196" t="e">
        <f>IF(#REF!="","",#REF!)</f>
        <v>#REF!</v>
      </c>
      <c r="I196" t="e">
        <f>IF(#REF!="","",#REF!)</f>
        <v>#REF!</v>
      </c>
      <c r="J196" t="e">
        <f>IF(#REF!="","",#REF!)</f>
        <v>#REF!</v>
      </c>
      <c r="K196" t="e">
        <f>IF(#REF!="","",#REF!)</f>
        <v>#REF!</v>
      </c>
      <c r="L196" t="e">
        <f>IF(#REF!="","",#REF!)</f>
        <v>#REF!</v>
      </c>
      <c r="M196" t="e">
        <f>IF(#REF!="","",#REF!)</f>
        <v>#REF!</v>
      </c>
      <c r="N196" t="e">
        <f>IF(#REF!="","",#REF!)</f>
        <v>#REF!</v>
      </c>
      <c r="O196" t="e">
        <f>IF(#REF!="","",#REF!)</f>
        <v>#REF!</v>
      </c>
      <c r="P196" t="e">
        <f>IF(#REF!="","",#REF!)</f>
        <v>#REF!</v>
      </c>
      <c r="Q196" t="e">
        <f>IF(#REF!="","",#REF!)</f>
        <v>#REF!</v>
      </c>
      <c r="R196" t="e">
        <f>IF(#REF!="","",#REF!)</f>
        <v>#REF!</v>
      </c>
    </row>
    <row r="197" spans="7:18" x14ac:dyDescent="0.2">
      <c r="G197" t="e">
        <f t="shared" ca="1" si="14"/>
        <v>#REF!</v>
      </c>
      <c r="H197" t="e">
        <f>IF(#REF!="","",#REF!)</f>
        <v>#REF!</v>
      </c>
      <c r="I197" t="e">
        <f>IF(#REF!="","",#REF!)</f>
        <v>#REF!</v>
      </c>
      <c r="J197" t="e">
        <f>IF(#REF!="","",#REF!)</f>
        <v>#REF!</v>
      </c>
      <c r="K197" t="e">
        <f>IF(#REF!="","",#REF!)</f>
        <v>#REF!</v>
      </c>
      <c r="L197" t="e">
        <f>IF(#REF!="","",#REF!)</f>
        <v>#REF!</v>
      </c>
      <c r="M197" t="e">
        <f>IF(#REF!="","",#REF!)</f>
        <v>#REF!</v>
      </c>
      <c r="N197" t="e">
        <f>IF(#REF!="","",#REF!)</f>
        <v>#REF!</v>
      </c>
      <c r="O197" t="e">
        <f>IF(#REF!="","",#REF!)</f>
        <v>#REF!</v>
      </c>
      <c r="P197" t="e">
        <f>IF(#REF!="","",#REF!)</f>
        <v>#REF!</v>
      </c>
      <c r="Q197" t="e">
        <f>IF(#REF!="","",#REF!)</f>
        <v>#REF!</v>
      </c>
      <c r="R197" t="e">
        <f>IF(#REF!="","",#REF!)</f>
        <v>#REF!</v>
      </c>
    </row>
    <row r="198" spans="7:18" x14ac:dyDescent="0.2">
      <c r="G198" t="e">
        <f t="shared" ca="1" si="14"/>
        <v>#REF!</v>
      </c>
      <c r="H198" t="e">
        <f>IF(#REF!="","",#REF!)</f>
        <v>#REF!</v>
      </c>
      <c r="I198" t="e">
        <f>IF(#REF!="","",#REF!)</f>
        <v>#REF!</v>
      </c>
      <c r="J198" t="e">
        <f>IF(#REF!="","",#REF!)</f>
        <v>#REF!</v>
      </c>
      <c r="K198" t="e">
        <f>IF(#REF!="","",#REF!)</f>
        <v>#REF!</v>
      </c>
      <c r="L198" t="e">
        <f>IF(#REF!="","",#REF!)</f>
        <v>#REF!</v>
      </c>
      <c r="M198" t="e">
        <f>IF(#REF!="","",#REF!)</f>
        <v>#REF!</v>
      </c>
      <c r="N198" t="e">
        <f>IF(#REF!="","",#REF!)</f>
        <v>#REF!</v>
      </c>
      <c r="O198" t="e">
        <f>IF(#REF!="","",#REF!)</f>
        <v>#REF!</v>
      </c>
      <c r="P198" t="e">
        <f>IF(#REF!="","",#REF!)</f>
        <v>#REF!</v>
      </c>
      <c r="Q198" t="e">
        <f>IF(#REF!="","",#REF!)</f>
        <v>#REF!</v>
      </c>
      <c r="R198" t="e">
        <f>IF(#REF!="","",#REF!)</f>
        <v>#REF!</v>
      </c>
    </row>
    <row r="199" spans="7:18" x14ac:dyDescent="0.2">
      <c r="G199" t="e">
        <f t="shared" ca="1" si="14"/>
        <v>#REF!</v>
      </c>
      <c r="H199" t="e">
        <f>IF(#REF!="","",#REF!)</f>
        <v>#REF!</v>
      </c>
      <c r="I199" t="e">
        <f>IF(#REF!="","",#REF!)</f>
        <v>#REF!</v>
      </c>
      <c r="J199" t="e">
        <f>IF(#REF!="","",#REF!)</f>
        <v>#REF!</v>
      </c>
      <c r="K199" t="e">
        <f>IF(#REF!="","",#REF!)</f>
        <v>#REF!</v>
      </c>
      <c r="L199" t="e">
        <f>IF(#REF!="","",#REF!)</f>
        <v>#REF!</v>
      </c>
      <c r="M199" t="e">
        <f>IF(#REF!="","",#REF!)</f>
        <v>#REF!</v>
      </c>
      <c r="N199" t="e">
        <f>IF(#REF!="","",#REF!)</f>
        <v>#REF!</v>
      </c>
      <c r="O199" t="e">
        <f>IF(#REF!="","",#REF!)</f>
        <v>#REF!</v>
      </c>
      <c r="P199" t="e">
        <f>IF(#REF!="","",#REF!)</f>
        <v>#REF!</v>
      </c>
      <c r="Q199" t="e">
        <f>IF(#REF!="","",#REF!)</f>
        <v>#REF!</v>
      </c>
      <c r="R199" t="e">
        <f>IF(#REF!="","",#REF!)</f>
        <v>#REF!</v>
      </c>
    </row>
    <row r="200" spans="7:18" x14ac:dyDescent="0.2">
      <c r="G200" t="e">
        <f t="shared" ca="1" si="14"/>
        <v>#REF!</v>
      </c>
      <c r="H200" t="e">
        <f>IF(#REF!="","",#REF!)</f>
        <v>#REF!</v>
      </c>
      <c r="I200" t="e">
        <f>IF(#REF!="","",#REF!)</f>
        <v>#REF!</v>
      </c>
      <c r="J200" t="e">
        <f>IF(#REF!="","",#REF!)</f>
        <v>#REF!</v>
      </c>
      <c r="K200" t="e">
        <f>IF(#REF!="","",#REF!)</f>
        <v>#REF!</v>
      </c>
      <c r="L200" t="e">
        <f>IF(#REF!="","",#REF!)</f>
        <v>#REF!</v>
      </c>
      <c r="M200" t="e">
        <f>IF(#REF!="","",#REF!)</f>
        <v>#REF!</v>
      </c>
      <c r="N200" t="e">
        <f>IF(#REF!="","",#REF!)</f>
        <v>#REF!</v>
      </c>
      <c r="O200" t="e">
        <f>IF(#REF!="","",#REF!)</f>
        <v>#REF!</v>
      </c>
      <c r="P200" t="e">
        <f>IF(#REF!="","",#REF!)</f>
        <v>#REF!</v>
      </c>
      <c r="Q200" t="e">
        <f>IF(#REF!="","",#REF!)</f>
        <v>#REF!</v>
      </c>
      <c r="R200" t="e">
        <f>IF(#REF!="","",#REF!)</f>
        <v>#REF!</v>
      </c>
    </row>
    <row r="201" spans="7:18" x14ac:dyDescent="0.2">
      <c r="G201" t="e">
        <f t="shared" ca="1" si="14"/>
        <v>#REF!</v>
      </c>
      <c r="H201" t="e">
        <f>IF(#REF!="","",#REF!)</f>
        <v>#REF!</v>
      </c>
      <c r="I201" t="e">
        <f>IF(#REF!="","",#REF!)</f>
        <v>#REF!</v>
      </c>
      <c r="J201" t="e">
        <f>IF(#REF!="","",#REF!)</f>
        <v>#REF!</v>
      </c>
      <c r="K201" t="e">
        <f>IF(#REF!="","",#REF!)</f>
        <v>#REF!</v>
      </c>
      <c r="L201" t="e">
        <f>IF(#REF!="","",#REF!)</f>
        <v>#REF!</v>
      </c>
      <c r="M201" t="e">
        <f>IF(#REF!="","",#REF!)</f>
        <v>#REF!</v>
      </c>
      <c r="N201" t="e">
        <f>IF(#REF!="","",#REF!)</f>
        <v>#REF!</v>
      </c>
      <c r="O201" t="e">
        <f>IF(#REF!="","",#REF!)</f>
        <v>#REF!</v>
      </c>
      <c r="P201" t="e">
        <f>IF(#REF!="","",#REF!)</f>
        <v>#REF!</v>
      </c>
      <c r="Q201" t="e">
        <f>IF(#REF!="","",#REF!)</f>
        <v>#REF!</v>
      </c>
      <c r="R201" t="e">
        <f>IF(#REF!="","",#REF!)</f>
        <v>#REF!</v>
      </c>
    </row>
    <row r="202" spans="7:18" x14ac:dyDescent="0.2">
      <c r="G202" t="e">
        <f t="shared" ca="1" si="14"/>
        <v>#REF!</v>
      </c>
      <c r="H202" t="e">
        <f>IF(#REF!="","",#REF!)</f>
        <v>#REF!</v>
      </c>
      <c r="I202" t="e">
        <f>IF(#REF!="","",#REF!)</f>
        <v>#REF!</v>
      </c>
      <c r="J202" t="e">
        <f>IF(#REF!="","",#REF!)</f>
        <v>#REF!</v>
      </c>
      <c r="K202" t="e">
        <f>IF(#REF!="","",#REF!)</f>
        <v>#REF!</v>
      </c>
      <c r="L202" t="e">
        <f>IF(#REF!="","",#REF!)</f>
        <v>#REF!</v>
      </c>
      <c r="M202" t="e">
        <f>IF(#REF!="","",#REF!)</f>
        <v>#REF!</v>
      </c>
      <c r="N202" t="e">
        <f>IF(#REF!="","",#REF!)</f>
        <v>#REF!</v>
      </c>
      <c r="O202" t="e">
        <f>IF(#REF!="","",#REF!)</f>
        <v>#REF!</v>
      </c>
      <c r="P202" t="e">
        <f>IF(#REF!="","",#REF!)</f>
        <v>#REF!</v>
      </c>
      <c r="Q202" t="e">
        <f>IF(#REF!="","",#REF!)</f>
        <v>#REF!</v>
      </c>
      <c r="R202" t="e">
        <f>IF(#REF!="","",#REF!)</f>
        <v>#REF!</v>
      </c>
    </row>
    <row r="203" spans="7:18" x14ac:dyDescent="0.2">
      <c r="G203" t="e">
        <f t="shared" ca="1" si="14"/>
        <v>#REF!</v>
      </c>
      <c r="H203" t="e">
        <f>IF(#REF!="","",#REF!)</f>
        <v>#REF!</v>
      </c>
      <c r="I203" t="e">
        <f>IF(#REF!="","",#REF!)</f>
        <v>#REF!</v>
      </c>
      <c r="J203" t="e">
        <f>IF(#REF!="","",#REF!)</f>
        <v>#REF!</v>
      </c>
      <c r="K203" t="e">
        <f>IF(#REF!="","",#REF!)</f>
        <v>#REF!</v>
      </c>
      <c r="L203" t="e">
        <f>IF(#REF!="","",#REF!)</f>
        <v>#REF!</v>
      </c>
      <c r="M203" t="e">
        <f>IF(#REF!="","",#REF!)</f>
        <v>#REF!</v>
      </c>
      <c r="N203" t="e">
        <f>IF(#REF!="","",#REF!)</f>
        <v>#REF!</v>
      </c>
      <c r="O203" t="e">
        <f>IF(#REF!="","",#REF!)</f>
        <v>#REF!</v>
      </c>
      <c r="P203" t="e">
        <f>IF(#REF!="","",#REF!)</f>
        <v>#REF!</v>
      </c>
      <c r="Q203" t="e">
        <f>IF(#REF!="","",#REF!)</f>
        <v>#REF!</v>
      </c>
      <c r="R203" t="e">
        <f>IF(#REF!="","",#REF!)</f>
        <v>#REF!</v>
      </c>
    </row>
    <row r="204" spans="7:18" x14ac:dyDescent="0.2">
      <c r="G204" t="e">
        <f t="shared" ca="1" si="14"/>
        <v>#REF!</v>
      </c>
      <c r="H204" t="e">
        <f>IF(#REF!="","",#REF!)</f>
        <v>#REF!</v>
      </c>
      <c r="I204" t="e">
        <f>IF(#REF!="","",#REF!)</f>
        <v>#REF!</v>
      </c>
      <c r="J204" t="e">
        <f>IF(#REF!="","",#REF!)</f>
        <v>#REF!</v>
      </c>
      <c r="K204" t="e">
        <f>IF(#REF!="","",#REF!)</f>
        <v>#REF!</v>
      </c>
      <c r="L204" t="e">
        <f>IF(#REF!="","",#REF!)</f>
        <v>#REF!</v>
      </c>
      <c r="M204" t="e">
        <f>IF(#REF!="","",#REF!)</f>
        <v>#REF!</v>
      </c>
      <c r="N204" t="e">
        <f>IF(#REF!="","",#REF!)</f>
        <v>#REF!</v>
      </c>
      <c r="O204" t="e">
        <f>IF(#REF!="","",#REF!)</f>
        <v>#REF!</v>
      </c>
      <c r="P204" t="e">
        <f>IF(#REF!="","",#REF!)</f>
        <v>#REF!</v>
      </c>
      <c r="Q204" t="e">
        <f>IF(#REF!="","",#REF!)</f>
        <v>#REF!</v>
      </c>
      <c r="R204" t="e">
        <f>IF(#REF!="","",#REF!)</f>
        <v>#REF!</v>
      </c>
    </row>
    <row r="205" spans="7:18" x14ac:dyDescent="0.2">
      <c r="G205" t="e">
        <f t="shared" ca="1" si="14"/>
        <v>#REF!</v>
      </c>
      <c r="H205" t="e">
        <f>IF(#REF!="","",#REF!)</f>
        <v>#REF!</v>
      </c>
      <c r="I205" t="e">
        <f>IF(#REF!="","",#REF!)</f>
        <v>#REF!</v>
      </c>
      <c r="J205" t="e">
        <f>IF(#REF!="","",#REF!)</f>
        <v>#REF!</v>
      </c>
      <c r="K205" t="e">
        <f>IF(#REF!="","",#REF!)</f>
        <v>#REF!</v>
      </c>
      <c r="L205" t="e">
        <f>IF(#REF!="","",#REF!)</f>
        <v>#REF!</v>
      </c>
      <c r="M205" t="e">
        <f>IF(#REF!="","",#REF!)</f>
        <v>#REF!</v>
      </c>
      <c r="N205" t="e">
        <f>IF(#REF!="","",#REF!)</f>
        <v>#REF!</v>
      </c>
      <c r="O205" t="e">
        <f>IF(#REF!="","",#REF!)</f>
        <v>#REF!</v>
      </c>
      <c r="P205" t="e">
        <f>IF(#REF!="","",#REF!)</f>
        <v>#REF!</v>
      </c>
      <c r="Q205" t="e">
        <f>IF(#REF!="","",#REF!)</f>
        <v>#REF!</v>
      </c>
      <c r="R205" t="e">
        <f>IF(#REF!="","",#REF!)</f>
        <v>#REF!</v>
      </c>
    </row>
    <row r="206" spans="7:18" x14ac:dyDescent="0.2">
      <c r="G206" t="e">
        <f t="shared" ca="1" si="14"/>
        <v>#REF!</v>
      </c>
      <c r="H206" t="e">
        <f>IF(#REF!="","",#REF!)</f>
        <v>#REF!</v>
      </c>
      <c r="I206" t="e">
        <f>IF(#REF!="","",#REF!)</f>
        <v>#REF!</v>
      </c>
      <c r="J206" t="e">
        <f>IF(#REF!="","",#REF!)</f>
        <v>#REF!</v>
      </c>
      <c r="K206" t="e">
        <f>IF(#REF!="","",#REF!)</f>
        <v>#REF!</v>
      </c>
      <c r="L206" t="e">
        <f>IF(#REF!="","",#REF!)</f>
        <v>#REF!</v>
      </c>
      <c r="M206" t="e">
        <f>IF(#REF!="","",#REF!)</f>
        <v>#REF!</v>
      </c>
      <c r="N206" t="e">
        <f>IF(#REF!="","",#REF!)</f>
        <v>#REF!</v>
      </c>
      <c r="O206" t="e">
        <f>IF(#REF!="","",#REF!)</f>
        <v>#REF!</v>
      </c>
      <c r="P206" t="e">
        <f>IF(#REF!="","",#REF!)</f>
        <v>#REF!</v>
      </c>
      <c r="Q206" t="e">
        <f>IF(#REF!="","",#REF!)</f>
        <v>#REF!</v>
      </c>
      <c r="R206" t="e">
        <f>IF(#REF!="","",#REF!)</f>
        <v>#REF!</v>
      </c>
    </row>
    <row r="207" spans="7:18" x14ac:dyDescent="0.2">
      <c r="G207" t="e">
        <f t="shared" ca="1" si="14"/>
        <v>#REF!</v>
      </c>
      <c r="H207" t="e">
        <f>IF(#REF!="","",#REF!)</f>
        <v>#REF!</v>
      </c>
      <c r="I207" t="e">
        <f>IF(#REF!="","",#REF!)</f>
        <v>#REF!</v>
      </c>
      <c r="J207" t="e">
        <f>IF(#REF!="","",#REF!)</f>
        <v>#REF!</v>
      </c>
      <c r="K207" t="e">
        <f>IF(#REF!="","",#REF!)</f>
        <v>#REF!</v>
      </c>
      <c r="L207" t="e">
        <f>IF(#REF!="","",#REF!)</f>
        <v>#REF!</v>
      </c>
      <c r="M207" t="e">
        <f>IF(#REF!="","",#REF!)</f>
        <v>#REF!</v>
      </c>
      <c r="N207" t="e">
        <f>IF(#REF!="","",#REF!)</f>
        <v>#REF!</v>
      </c>
      <c r="O207" t="e">
        <f>IF(#REF!="","",#REF!)</f>
        <v>#REF!</v>
      </c>
      <c r="P207" t="e">
        <f>IF(#REF!="","",#REF!)</f>
        <v>#REF!</v>
      </c>
      <c r="Q207" t="e">
        <f>IF(#REF!="","",#REF!)</f>
        <v>#REF!</v>
      </c>
      <c r="R207" t="e">
        <f>IF(#REF!="","",#REF!)</f>
        <v>#REF!</v>
      </c>
    </row>
    <row r="208" spans="7:18" x14ac:dyDescent="0.2">
      <c r="G208" t="e">
        <f t="shared" ca="1" si="14"/>
        <v>#REF!</v>
      </c>
      <c r="H208" t="e">
        <f>IF(#REF!="","",#REF!)</f>
        <v>#REF!</v>
      </c>
      <c r="I208" t="e">
        <f>IF(#REF!="","",#REF!)</f>
        <v>#REF!</v>
      </c>
      <c r="J208" t="e">
        <f>IF(#REF!="","",#REF!)</f>
        <v>#REF!</v>
      </c>
      <c r="K208" t="e">
        <f>IF(#REF!="","",#REF!)</f>
        <v>#REF!</v>
      </c>
      <c r="L208" t="e">
        <f>IF(#REF!="","",#REF!)</f>
        <v>#REF!</v>
      </c>
      <c r="M208" t="e">
        <f>IF(#REF!="","",#REF!)</f>
        <v>#REF!</v>
      </c>
      <c r="N208" t="e">
        <f>IF(#REF!="","",#REF!)</f>
        <v>#REF!</v>
      </c>
      <c r="O208" t="e">
        <f>IF(#REF!="","",#REF!)</f>
        <v>#REF!</v>
      </c>
      <c r="P208" t="e">
        <f>IF(#REF!="","",#REF!)</f>
        <v>#REF!</v>
      </c>
      <c r="Q208" t="e">
        <f>IF(#REF!="","",#REF!)</f>
        <v>#REF!</v>
      </c>
      <c r="R208" t="e">
        <f>IF(#REF!="","",#REF!)</f>
        <v>#REF!</v>
      </c>
    </row>
    <row r="209" spans="7:47" x14ac:dyDescent="0.2">
      <c r="G209" t="e">
        <f t="shared" ca="1" si="14"/>
        <v>#REF!</v>
      </c>
      <c r="H209" t="e">
        <f>IF(#REF!="","",#REF!)</f>
        <v>#REF!</v>
      </c>
      <c r="I209" t="e">
        <f>IF(#REF!="","",#REF!)</f>
        <v>#REF!</v>
      </c>
      <c r="J209" t="e">
        <f>IF(#REF!="","",#REF!)</f>
        <v>#REF!</v>
      </c>
      <c r="K209" t="e">
        <f>IF(#REF!="","",#REF!)</f>
        <v>#REF!</v>
      </c>
      <c r="L209" t="e">
        <f>IF(#REF!="","",#REF!)</f>
        <v>#REF!</v>
      </c>
      <c r="M209" t="e">
        <f>IF(#REF!="","",#REF!)</f>
        <v>#REF!</v>
      </c>
      <c r="N209" t="e">
        <f>IF(#REF!="","",#REF!)</f>
        <v>#REF!</v>
      </c>
      <c r="O209" t="e">
        <f>IF(#REF!="","",#REF!)</f>
        <v>#REF!</v>
      </c>
      <c r="P209" t="e">
        <f>IF(#REF!="","",#REF!)</f>
        <v>#REF!</v>
      </c>
      <c r="Q209" t="e">
        <f>IF(#REF!="","",#REF!)</f>
        <v>#REF!</v>
      </c>
      <c r="R209" t="e">
        <f>IF(#REF!="","",#REF!)</f>
        <v>#REF!</v>
      </c>
    </row>
    <row r="210" spans="7:47" x14ac:dyDescent="0.2">
      <c r="G210" t="e">
        <f t="shared" ca="1" si="14"/>
        <v>#REF!</v>
      </c>
      <c r="H210" t="e">
        <f>IF(#REF!="","",#REF!)</f>
        <v>#REF!</v>
      </c>
      <c r="I210" t="e">
        <f>IF(#REF!="","",#REF!)</f>
        <v>#REF!</v>
      </c>
      <c r="J210" t="e">
        <f>IF(#REF!="","",#REF!)</f>
        <v>#REF!</v>
      </c>
      <c r="K210" t="e">
        <f>IF(#REF!="","",#REF!)</f>
        <v>#REF!</v>
      </c>
      <c r="L210" t="e">
        <f>IF(#REF!="","",#REF!)</f>
        <v>#REF!</v>
      </c>
      <c r="M210" t="e">
        <f>IF(#REF!="","",#REF!)</f>
        <v>#REF!</v>
      </c>
      <c r="N210" t="e">
        <f>IF(#REF!="","",#REF!)</f>
        <v>#REF!</v>
      </c>
      <c r="O210" t="e">
        <f>IF(#REF!="","",#REF!)</f>
        <v>#REF!</v>
      </c>
      <c r="P210" t="e">
        <f>IF(#REF!="","",#REF!)</f>
        <v>#REF!</v>
      </c>
      <c r="Q210" t="e">
        <f>IF(#REF!="","",#REF!)</f>
        <v>#REF!</v>
      </c>
      <c r="R210" t="e">
        <f>IF(#REF!="","",#REF!)</f>
        <v>#REF!</v>
      </c>
    </row>
    <row r="211" spans="7:47" x14ac:dyDescent="0.2">
      <c r="G211" t="e">
        <f t="shared" ca="1" si="14"/>
        <v>#REF!</v>
      </c>
      <c r="H211" t="e">
        <f>IF(#REF!="","",#REF!)</f>
        <v>#REF!</v>
      </c>
      <c r="I211" t="e">
        <f>IF(#REF!="","",#REF!)</f>
        <v>#REF!</v>
      </c>
      <c r="J211" t="e">
        <f>IF(#REF!="","",#REF!)</f>
        <v>#REF!</v>
      </c>
      <c r="K211" t="e">
        <f>IF(#REF!="","",#REF!)</f>
        <v>#REF!</v>
      </c>
      <c r="L211" t="e">
        <f>IF(#REF!="","",#REF!)</f>
        <v>#REF!</v>
      </c>
      <c r="M211" t="e">
        <f>IF(#REF!="","",#REF!)</f>
        <v>#REF!</v>
      </c>
      <c r="N211" t="e">
        <f>IF(#REF!="","",#REF!)</f>
        <v>#REF!</v>
      </c>
      <c r="O211" t="e">
        <f>IF(#REF!="","",#REF!)</f>
        <v>#REF!</v>
      </c>
      <c r="P211" t="e">
        <f>IF(#REF!="","",#REF!)</f>
        <v>#REF!</v>
      </c>
      <c r="Q211" t="e">
        <f>IF(#REF!="","",#REF!)</f>
        <v>#REF!</v>
      </c>
      <c r="R211" t="e">
        <f>IF(#REF!="","",#REF!)</f>
        <v>#REF!</v>
      </c>
    </row>
    <row r="212" spans="7:47" x14ac:dyDescent="0.2">
      <c r="G212" t="e">
        <f t="shared" ca="1" si="14"/>
        <v>#REF!</v>
      </c>
      <c r="H212" t="e">
        <f>IF(#REF!="","",#REF!)</f>
        <v>#REF!</v>
      </c>
      <c r="I212" t="e">
        <f>IF(#REF!="","",#REF!)</f>
        <v>#REF!</v>
      </c>
      <c r="J212" t="e">
        <f>IF(#REF!="","",#REF!)</f>
        <v>#REF!</v>
      </c>
      <c r="K212" t="e">
        <f>IF(#REF!="","",#REF!)</f>
        <v>#REF!</v>
      </c>
      <c r="L212" t="e">
        <f>IF(#REF!="","",#REF!)</f>
        <v>#REF!</v>
      </c>
      <c r="M212" t="e">
        <f>IF(#REF!="","",#REF!)</f>
        <v>#REF!</v>
      </c>
      <c r="N212" t="e">
        <f>IF(#REF!="","",#REF!)</f>
        <v>#REF!</v>
      </c>
      <c r="O212" t="e">
        <f>IF(#REF!="","",#REF!)</f>
        <v>#REF!</v>
      </c>
      <c r="P212" t="e">
        <f>IF(#REF!="","",#REF!)</f>
        <v>#REF!</v>
      </c>
      <c r="Q212" t="e">
        <f>IF(#REF!="","",#REF!)</f>
        <v>#REF!</v>
      </c>
      <c r="R212" t="e">
        <f>IF(#REF!="","",#REF!)</f>
        <v>#REF!</v>
      </c>
    </row>
    <row r="213" spans="7:47" x14ac:dyDescent="0.2">
      <c r="G213" t="e">
        <f t="shared" ca="1" si="14"/>
        <v>#REF!</v>
      </c>
      <c r="H213" t="e">
        <f>IF(#REF!="","",#REF!)</f>
        <v>#REF!</v>
      </c>
      <c r="I213" t="e">
        <f>IF(#REF!="","",#REF!)</f>
        <v>#REF!</v>
      </c>
      <c r="J213" t="e">
        <f>IF(#REF!="","",#REF!)</f>
        <v>#REF!</v>
      </c>
      <c r="K213" t="e">
        <f>IF(#REF!="","",#REF!)</f>
        <v>#REF!</v>
      </c>
      <c r="L213" t="e">
        <f>IF(#REF!="","",#REF!)</f>
        <v>#REF!</v>
      </c>
      <c r="M213" t="e">
        <f>IF(#REF!="","",#REF!)</f>
        <v>#REF!</v>
      </c>
      <c r="N213" t="e">
        <f>IF(#REF!="","",#REF!)</f>
        <v>#REF!</v>
      </c>
      <c r="O213" t="e">
        <f>IF(#REF!="","",#REF!)</f>
        <v>#REF!</v>
      </c>
      <c r="P213" t="e">
        <f>IF(#REF!="","",#REF!)</f>
        <v>#REF!</v>
      </c>
      <c r="Q213" t="e">
        <f>IF(#REF!="","",#REF!)</f>
        <v>#REF!</v>
      </c>
      <c r="R213" t="e">
        <f>IF(#REF!="","",#REF!)</f>
        <v>#REF!</v>
      </c>
    </row>
    <row r="214" spans="7:47" x14ac:dyDescent="0.2">
      <c r="G214" t="e">
        <f t="shared" ca="1" si="14"/>
        <v>#REF!</v>
      </c>
      <c r="H214" t="e">
        <f>IF(#REF!="","",#REF!)</f>
        <v>#REF!</v>
      </c>
      <c r="I214" t="e">
        <f>IF(#REF!="","",#REF!)</f>
        <v>#REF!</v>
      </c>
      <c r="J214" t="e">
        <f>IF(#REF!="","",#REF!)</f>
        <v>#REF!</v>
      </c>
      <c r="K214" t="e">
        <f>IF(#REF!="","",#REF!)</f>
        <v>#REF!</v>
      </c>
      <c r="L214" t="e">
        <f>IF(#REF!="","",#REF!)</f>
        <v>#REF!</v>
      </c>
      <c r="M214" t="e">
        <f>IF(#REF!="","",#REF!)</f>
        <v>#REF!</v>
      </c>
      <c r="N214" t="e">
        <f>IF(#REF!="","",#REF!)</f>
        <v>#REF!</v>
      </c>
      <c r="O214" t="e">
        <f>IF(#REF!="","",#REF!)</f>
        <v>#REF!</v>
      </c>
      <c r="P214" t="e">
        <f>IF(#REF!="","",#REF!)</f>
        <v>#REF!</v>
      </c>
      <c r="Q214" t="e">
        <f>IF(#REF!="","",#REF!)</f>
        <v>#REF!</v>
      </c>
      <c r="R214" t="e">
        <f>IF(#REF!="","",#REF!)</f>
        <v>#REF!</v>
      </c>
    </row>
    <row r="215" spans="7:47" x14ac:dyDescent="0.2">
      <c r="G215" t="e">
        <f t="shared" ca="1" si="14"/>
        <v>#REF!</v>
      </c>
      <c r="H215" t="e">
        <f>IF(#REF!="","",#REF!)</f>
        <v>#REF!</v>
      </c>
      <c r="I215" t="e">
        <f>IF(#REF!="","",#REF!)</f>
        <v>#REF!</v>
      </c>
      <c r="J215" t="e">
        <f>IF(#REF!="","",#REF!)</f>
        <v>#REF!</v>
      </c>
      <c r="K215" t="e">
        <f>IF(#REF!="","",#REF!)</f>
        <v>#REF!</v>
      </c>
      <c r="L215" t="e">
        <f>IF(#REF!="","",#REF!)</f>
        <v>#REF!</v>
      </c>
      <c r="M215" t="e">
        <f>IF(#REF!="","",#REF!)</f>
        <v>#REF!</v>
      </c>
      <c r="N215" t="e">
        <f>IF(#REF!="","",#REF!)</f>
        <v>#REF!</v>
      </c>
      <c r="O215" t="e">
        <f>IF(#REF!="","",#REF!)</f>
        <v>#REF!</v>
      </c>
      <c r="P215" t="e">
        <f>IF(#REF!="","",#REF!)</f>
        <v>#REF!</v>
      </c>
      <c r="Q215" t="e">
        <f>IF(#REF!="","",#REF!)</f>
        <v>#REF!</v>
      </c>
      <c r="R215" t="e">
        <f>IF(#REF!="","",#REF!)</f>
        <v>#REF!</v>
      </c>
    </row>
    <row r="216" spans="7:47" x14ac:dyDescent="0.2">
      <c r="G216" t="e">
        <f t="shared" ca="1" si="14"/>
        <v>#REF!</v>
      </c>
      <c r="H216" t="e">
        <f>IF(#REF!="","",#REF!)</f>
        <v>#REF!</v>
      </c>
      <c r="I216" t="e">
        <f>IF(#REF!="","",#REF!)</f>
        <v>#REF!</v>
      </c>
      <c r="J216" t="e">
        <f>IF(#REF!="","",#REF!)</f>
        <v>#REF!</v>
      </c>
      <c r="K216" t="e">
        <f>IF(#REF!="","",#REF!)</f>
        <v>#REF!</v>
      </c>
      <c r="L216" t="e">
        <f>IF(#REF!="","",#REF!)</f>
        <v>#REF!</v>
      </c>
      <c r="M216" t="e">
        <f>IF(#REF!="","",#REF!)</f>
        <v>#REF!</v>
      </c>
      <c r="N216" t="e">
        <f>IF(#REF!="","",#REF!)</f>
        <v>#REF!</v>
      </c>
      <c r="O216" t="e">
        <f>IF(#REF!="","",#REF!)</f>
        <v>#REF!</v>
      </c>
      <c r="P216" t="e">
        <f>IF(#REF!="","",#REF!)</f>
        <v>#REF!</v>
      </c>
      <c r="Q216" t="e">
        <f>IF(#REF!="","",#REF!)</f>
        <v>#REF!</v>
      </c>
      <c r="R216" t="e">
        <f>IF(#REF!="","",#REF!)</f>
        <v>#REF!</v>
      </c>
    </row>
    <row r="217" spans="7:47" x14ac:dyDescent="0.2">
      <c r="G217" t="e">
        <f t="shared" ca="1" si="14"/>
        <v>#REF!</v>
      </c>
      <c r="H217" t="e">
        <f>IF(#REF!="","",#REF!)</f>
        <v>#REF!</v>
      </c>
      <c r="I217" t="e">
        <f>IF(#REF!="","",#REF!)</f>
        <v>#REF!</v>
      </c>
      <c r="J217" t="e">
        <f>IF(#REF!="","",#REF!)</f>
        <v>#REF!</v>
      </c>
      <c r="K217" t="e">
        <f>IF(#REF!="","",#REF!)</f>
        <v>#REF!</v>
      </c>
      <c r="L217" t="e">
        <f>IF(#REF!="","",#REF!)</f>
        <v>#REF!</v>
      </c>
      <c r="M217" t="e">
        <f>IF(#REF!="","",#REF!)</f>
        <v>#REF!</v>
      </c>
      <c r="N217" t="e">
        <f>IF(#REF!="","",#REF!)</f>
        <v>#REF!</v>
      </c>
      <c r="O217" t="e">
        <f>IF(#REF!="","",#REF!)</f>
        <v>#REF!</v>
      </c>
      <c r="P217" t="e">
        <f>IF(#REF!="","",#REF!)</f>
        <v>#REF!</v>
      </c>
      <c r="Q217" t="e">
        <f>IF(#REF!="","",#REF!)</f>
        <v>#REF!</v>
      </c>
      <c r="R217" t="e">
        <f>IF(#REF!="","",#REF!)</f>
        <v>#REF!</v>
      </c>
    </row>
    <row r="218" spans="7:47" x14ac:dyDescent="0.2">
      <c r="G218" t="e">
        <f t="shared" ca="1" si="14"/>
        <v>#REF!</v>
      </c>
      <c r="H218" t="e">
        <f>IF(#REF!="","",#REF!)</f>
        <v>#REF!</v>
      </c>
      <c r="I218" t="e">
        <f>IF(#REF!="","",#REF!)</f>
        <v>#REF!</v>
      </c>
      <c r="J218" t="e">
        <f>IF(#REF!="","",#REF!)</f>
        <v>#REF!</v>
      </c>
      <c r="K218" t="e">
        <f>IF(#REF!="","",#REF!)</f>
        <v>#REF!</v>
      </c>
      <c r="L218" t="e">
        <f>IF(#REF!="","",#REF!)</f>
        <v>#REF!</v>
      </c>
      <c r="M218" t="e">
        <f>IF(#REF!="","",#REF!)</f>
        <v>#REF!</v>
      </c>
      <c r="N218" t="e">
        <f>IF(#REF!="","",#REF!)</f>
        <v>#REF!</v>
      </c>
      <c r="O218" t="e">
        <f>IF(#REF!="","",#REF!)</f>
        <v>#REF!</v>
      </c>
      <c r="P218" t="e">
        <f>IF(#REF!="","",#REF!)</f>
        <v>#REF!</v>
      </c>
      <c r="Q218" t="e">
        <f>IF(#REF!="","",#REF!)</f>
        <v>#REF!</v>
      </c>
      <c r="R218" t="e">
        <f>IF(#REF!="","",#REF!)</f>
        <v>#REF!</v>
      </c>
    </row>
    <row r="219" spans="7:47" x14ac:dyDescent="0.2">
      <c r="G219" t="e">
        <f t="shared" ca="1" si="14"/>
        <v>#REF!</v>
      </c>
      <c r="H219" t="e">
        <f>IF(#REF!="","",#REF!)</f>
        <v>#REF!</v>
      </c>
      <c r="I219" t="e">
        <f>IF(#REF!="","",#REF!)</f>
        <v>#REF!</v>
      </c>
      <c r="J219" t="e">
        <f>IF(#REF!="","",#REF!)</f>
        <v>#REF!</v>
      </c>
      <c r="K219" t="e">
        <f>IF(#REF!="","",#REF!)</f>
        <v>#REF!</v>
      </c>
      <c r="L219" t="e">
        <f>IF(#REF!="","",#REF!)</f>
        <v>#REF!</v>
      </c>
      <c r="M219" t="e">
        <f>IF(#REF!="","",#REF!)</f>
        <v>#REF!</v>
      </c>
      <c r="N219" t="e">
        <f>IF(#REF!="","",#REF!)</f>
        <v>#REF!</v>
      </c>
      <c r="O219" t="e">
        <f>IF(#REF!="","",#REF!)</f>
        <v>#REF!</v>
      </c>
      <c r="P219" t="e">
        <f>IF(#REF!="","",#REF!)</f>
        <v>#REF!</v>
      </c>
      <c r="Q219" t="e">
        <f>IF(#REF!="","",#REF!)</f>
        <v>#REF!</v>
      </c>
      <c r="R219" t="e">
        <f>IF(#REF!="","",#REF!)</f>
        <v>#REF!</v>
      </c>
    </row>
    <row r="220" spans="7:47" x14ac:dyDescent="0.2">
      <c r="G220" t="e">
        <f t="shared" ca="1" si="14"/>
        <v>#REF!</v>
      </c>
      <c r="H220" t="e">
        <f>IF(#REF!="","",#REF!)</f>
        <v>#REF!</v>
      </c>
      <c r="I220" t="e">
        <f>IF(#REF!="","",#REF!)</f>
        <v>#REF!</v>
      </c>
      <c r="J220" t="e">
        <f>IF(#REF!="","",#REF!)</f>
        <v>#REF!</v>
      </c>
      <c r="K220" t="e">
        <f>IF(#REF!="","",#REF!)</f>
        <v>#REF!</v>
      </c>
      <c r="L220" t="e">
        <f>IF(#REF!="","",#REF!)</f>
        <v>#REF!</v>
      </c>
      <c r="M220" t="e">
        <f>IF(#REF!="","",#REF!)</f>
        <v>#REF!</v>
      </c>
      <c r="N220" t="e">
        <f>IF(#REF!="","",#REF!)</f>
        <v>#REF!</v>
      </c>
      <c r="O220" t="e">
        <f>IF(#REF!="","",#REF!)</f>
        <v>#REF!</v>
      </c>
      <c r="P220" t="e">
        <f>IF(#REF!="","",#REF!)</f>
        <v>#REF!</v>
      </c>
      <c r="Q220" t="e">
        <f>IF(#REF!="","",#REF!)</f>
        <v>#REF!</v>
      </c>
      <c r="R220" t="e">
        <f>IF(#REF!="","",#REF!)</f>
        <v>#REF!</v>
      </c>
      <c r="AE220">
        <v>5</v>
      </c>
    </row>
    <row r="221" spans="7:47" x14ac:dyDescent="0.2">
      <c r="G221" t="e">
        <f t="shared" ca="1" si="14"/>
        <v>#REF!</v>
      </c>
      <c r="H221" t="e">
        <f>IF(#REF!="","",#REF!)</f>
        <v>#REF!</v>
      </c>
      <c r="I221" t="e">
        <f>IF(#REF!="","",#REF!)</f>
        <v>#REF!</v>
      </c>
      <c r="J221" t="e">
        <f>IF(#REF!="","",#REF!)</f>
        <v>#REF!</v>
      </c>
      <c r="K221" t="e">
        <f>IF(#REF!="","",#REF!)</f>
        <v>#REF!</v>
      </c>
      <c r="L221" t="e">
        <f>IF(#REF!="","",#REF!)</f>
        <v>#REF!</v>
      </c>
      <c r="M221" t="e">
        <f>IF(#REF!="","",#REF!)</f>
        <v>#REF!</v>
      </c>
      <c r="N221" t="e">
        <f>IF(#REF!="","",#REF!)</f>
        <v>#REF!</v>
      </c>
      <c r="O221" t="e">
        <f>IF(#REF!="","",#REF!)</f>
        <v>#REF!</v>
      </c>
      <c r="P221" t="e">
        <f>IF(#REF!="","",#REF!)</f>
        <v>#REF!</v>
      </c>
      <c r="Q221" t="e">
        <f>IF(#REF!="","",#REF!)</f>
        <v>#REF!</v>
      </c>
      <c r="R221" t="e">
        <f>IF(#REF!="","",#REF!)</f>
        <v>#REF!</v>
      </c>
      <c r="AE221" s="68">
        <v>0.25</v>
      </c>
    </row>
    <row r="222" spans="7:47" x14ac:dyDescent="0.2">
      <c r="G222" t="e">
        <f t="shared" ca="1" si="14"/>
        <v>#REF!</v>
      </c>
      <c r="H222" t="e">
        <f>IF(#REF!="","",#REF!)</f>
        <v>#REF!</v>
      </c>
      <c r="I222" t="e">
        <f>IF(#REF!="","",#REF!)</f>
        <v>#REF!</v>
      </c>
      <c r="J222" t="e">
        <f>IF(#REF!="","",#REF!)</f>
        <v>#REF!</v>
      </c>
      <c r="K222" t="e">
        <f>IF(#REF!="","",#REF!)</f>
        <v>#REF!</v>
      </c>
      <c r="L222" t="e">
        <f>IF(#REF!="","",#REF!)</f>
        <v>#REF!</v>
      </c>
      <c r="M222" t="e">
        <f>IF(#REF!="","",#REF!)</f>
        <v>#REF!</v>
      </c>
      <c r="N222" t="e">
        <f>IF(#REF!="","",#REF!)</f>
        <v>#REF!</v>
      </c>
      <c r="O222" t="e">
        <f>IF(#REF!="","",#REF!)</f>
        <v>#REF!</v>
      </c>
      <c r="P222" t="e">
        <f>IF(#REF!="","",#REF!)</f>
        <v>#REF!</v>
      </c>
      <c r="Q222" t="e">
        <f>IF(#REF!="","",#REF!)</f>
        <v>#REF!</v>
      </c>
      <c r="R222" t="e">
        <f>IF(#REF!="","",#REF!)</f>
        <v>#REF!</v>
      </c>
      <c r="AE222" s="68">
        <v>0.1</v>
      </c>
    </row>
    <row r="223" spans="7:47" x14ac:dyDescent="0.2">
      <c r="AB223">
        <v>36403</v>
      </c>
      <c r="AC223" t="s">
        <v>856</v>
      </c>
      <c r="AE223" s="68">
        <v>0.55000000000000004</v>
      </c>
      <c r="AF223" t="s">
        <v>857</v>
      </c>
      <c r="AH223">
        <v>38.68</v>
      </c>
      <c r="AI223" s="32">
        <v>2789.7930000000001</v>
      </c>
    </row>
    <row r="224" spans="7:47" ht="26.25" customHeight="1" x14ac:dyDescent="0.2">
      <c r="AU224" s="144"/>
    </row>
    <row r="248" spans="1:8" x14ac:dyDescent="0.2">
      <c r="A248" t="s">
        <v>180</v>
      </c>
      <c r="B248" t="s">
        <v>858</v>
      </c>
      <c r="C248" t="s">
        <v>859</v>
      </c>
      <c r="D248" t="s">
        <v>860</v>
      </c>
      <c r="E248" t="s">
        <v>861</v>
      </c>
      <c r="F248" t="s">
        <v>862</v>
      </c>
      <c r="G248" t="s">
        <v>863</v>
      </c>
      <c r="H248" t="s">
        <v>864</v>
      </c>
    </row>
    <row r="249" spans="1:8" x14ac:dyDescent="0.2">
      <c r="A249" t="e">
        <f t="shared" ref="A249:A254" ca="1" si="15">DQ$2</f>
        <v>#REF!</v>
      </c>
      <c r="B249" t="e">
        <f>#REF!</f>
        <v>#REF!</v>
      </c>
      <c r="C249" s="82" t="e">
        <f>#REF!</f>
        <v>#REF!</v>
      </c>
      <c r="D249" s="82" t="e">
        <f>#REF!</f>
        <v>#REF!</v>
      </c>
      <c r="E249" s="82" t="e">
        <f>#REF!</f>
        <v>#REF!</v>
      </c>
      <c r="F249" s="82" t="e">
        <f>#REF!</f>
        <v>#REF!</v>
      </c>
      <c r="G249" s="82" t="e">
        <f>#REF!</f>
        <v>#REF!</v>
      </c>
      <c r="H249" s="82" t="e">
        <f>#REF!</f>
        <v>#REF!</v>
      </c>
    </row>
    <row r="250" spans="1:8" x14ac:dyDescent="0.2">
      <c r="A250" t="e">
        <f t="shared" ca="1" si="15"/>
        <v>#REF!</v>
      </c>
      <c r="B250" t="e">
        <f>#REF!</f>
        <v>#REF!</v>
      </c>
      <c r="C250" s="82" t="e">
        <f>#REF!</f>
        <v>#REF!</v>
      </c>
      <c r="D250" s="82" t="e">
        <f>#REF!</f>
        <v>#REF!</v>
      </c>
      <c r="E250" s="82" t="e">
        <f>#REF!</f>
        <v>#REF!</v>
      </c>
      <c r="F250" s="82" t="e">
        <f>#REF!</f>
        <v>#REF!</v>
      </c>
      <c r="G250" s="82" t="e">
        <f>#REF!</f>
        <v>#REF!</v>
      </c>
      <c r="H250" s="82" t="e">
        <f>#REF!</f>
        <v>#REF!</v>
      </c>
    </row>
    <row r="251" spans="1:8" x14ac:dyDescent="0.2">
      <c r="A251" t="e">
        <f t="shared" ca="1" si="15"/>
        <v>#REF!</v>
      </c>
      <c r="B251" t="e">
        <f>#REF!</f>
        <v>#REF!</v>
      </c>
      <c r="C251" s="82" t="e">
        <f>#REF!</f>
        <v>#REF!</v>
      </c>
      <c r="D251" s="82" t="e">
        <f>#REF!</f>
        <v>#REF!</v>
      </c>
      <c r="E251" s="82" t="e">
        <f>#REF!</f>
        <v>#REF!</v>
      </c>
      <c r="F251" s="82" t="e">
        <f>#REF!</f>
        <v>#REF!</v>
      </c>
      <c r="G251" s="82" t="e">
        <f>#REF!</f>
        <v>#REF!</v>
      </c>
      <c r="H251" s="82" t="e">
        <f>#REF!</f>
        <v>#REF!</v>
      </c>
    </row>
    <row r="252" spans="1:8" x14ac:dyDescent="0.2">
      <c r="A252" t="e">
        <f t="shared" ca="1" si="15"/>
        <v>#REF!</v>
      </c>
      <c r="B252" t="e">
        <f>#REF!</f>
        <v>#REF!</v>
      </c>
      <c r="C252" s="82" t="e">
        <f>#REF!</f>
        <v>#REF!</v>
      </c>
      <c r="D252" s="82" t="e">
        <f>#REF!</f>
        <v>#REF!</v>
      </c>
      <c r="E252" s="82" t="e">
        <f>#REF!</f>
        <v>#REF!</v>
      </c>
      <c r="F252" s="82" t="e">
        <f>#REF!</f>
        <v>#REF!</v>
      </c>
      <c r="G252" s="82" t="e">
        <f>#REF!</f>
        <v>#REF!</v>
      </c>
      <c r="H252" s="82" t="e">
        <f>#REF!</f>
        <v>#REF!</v>
      </c>
    </row>
    <row r="253" spans="1:8" x14ac:dyDescent="0.2">
      <c r="A253" t="e">
        <f t="shared" ca="1" si="15"/>
        <v>#REF!</v>
      </c>
      <c r="B253" t="e">
        <f>#REF!</f>
        <v>#REF!</v>
      </c>
      <c r="C253" s="82" t="e">
        <f>#REF!</f>
        <v>#REF!</v>
      </c>
      <c r="D253" s="82" t="e">
        <f>#REF!</f>
        <v>#REF!</v>
      </c>
      <c r="E253" s="82" t="e">
        <f>#REF!</f>
        <v>#REF!</v>
      </c>
      <c r="F253" s="82" t="e">
        <f>#REF!</f>
        <v>#REF!</v>
      </c>
      <c r="G253" s="82" t="e">
        <f>#REF!</f>
        <v>#REF!</v>
      </c>
      <c r="H253" s="82" t="e">
        <f>#REF!</f>
        <v>#REF!</v>
      </c>
    </row>
    <row r="254" spans="1:8" x14ac:dyDescent="0.2">
      <c r="A254" t="e">
        <f t="shared" ca="1" si="15"/>
        <v>#REF!</v>
      </c>
      <c r="B254" t="e">
        <f>#REF!</f>
        <v>#REF!</v>
      </c>
      <c r="C254" s="82" t="e">
        <f>#REF!</f>
        <v>#REF!</v>
      </c>
      <c r="D254" s="82" t="e">
        <f>#REF!</f>
        <v>#REF!</v>
      </c>
      <c r="E254" s="82" t="e">
        <f>#REF!</f>
        <v>#REF!</v>
      </c>
      <c r="F254" s="82" t="e">
        <f>#REF!</f>
        <v>#REF!</v>
      </c>
      <c r="G254" s="82" t="e">
        <f>#REF!</f>
        <v>#REF!</v>
      </c>
      <c r="H254" s="82" t="e">
        <f>#REF!</f>
        <v>#REF!</v>
      </c>
    </row>
  </sheetData>
  <mergeCells count="2">
    <mergeCell ref="B62:C62"/>
    <mergeCell ref="D62:E62"/>
  </mergeCells>
  <phoneticPr fontId="6" type="noConversion"/>
  <pageMargins left="0.17" right="0.19" top="0.984251969" bottom="0.984251969" header="0.4921259845" footer="0.492125984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8"/>
  <dimension ref="A2:D74"/>
  <sheetViews>
    <sheetView workbookViewId="0">
      <selection activeCell="D9" sqref="D9:E9"/>
    </sheetView>
  </sheetViews>
  <sheetFormatPr baseColWidth="10" defaultColWidth="11.42578125" defaultRowHeight="12.75" x14ac:dyDescent="0.2"/>
  <cols>
    <col min="1" max="1" width="5.42578125" customWidth="1"/>
    <col min="2" max="2" width="44.140625" customWidth="1"/>
    <col min="3" max="3" width="34.140625" customWidth="1"/>
    <col min="4" max="4" width="42.5703125" customWidth="1"/>
  </cols>
  <sheetData>
    <row r="2" spans="1:4" x14ac:dyDescent="0.2">
      <c r="B2" s="106" t="s">
        <v>865</v>
      </c>
    </row>
    <row r="4" spans="1:4" x14ac:dyDescent="0.2">
      <c r="B4" t="s">
        <v>866</v>
      </c>
    </row>
    <row r="7" spans="1:4" x14ac:dyDescent="0.2">
      <c r="B7" s="66" t="s">
        <v>867</v>
      </c>
      <c r="C7" s="66" t="s">
        <v>868</v>
      </c>
      <c r="D7" s="66" t="s">
        <v>868</v>
      </c>
    </row>
    <row r="8" spans="1:4" x14ac:dyDescent="0.2">
      <c r="C8" s="112" t="s">
        <v>869</v>
      </c>
      <c r="D8" s="112" t="s">
        <v>870</v>
      </c>
    </row>
    <row r="11" spans="1:4" x14ac:dyDescent="0.2">
      <c r="A11">
        <v>1</v>
      </c>
      <c r="B11" s="105" t="s">
        <v>871</v>
      </c>
      <c r="C11" t="e">
        <f>HLOOKUP(B11,Data2!Exportation,1,FALSE)</f>
        <v>#N/A</v>
      </c>
    </row>
    <row r="12" spans="1:4" x14ac:dyDescent="0.2">
      <c r="A12">
        <v>2</v>
      </c>
      <c r="B12" t="s">
        <v>872</v>
      </c>
      <c r="C12" t="e">
        <f>HLOOKUP(B12,Data2!Exportation,1,FALSE)</f>
        <v>#N/A</v>
      </c>
      <c r="D12" t="s">
        <v>92</v>
      </c>
    </row>
    <row r="13" spans="1:4" x14ac:dyDescent="0.2">
      <c r="A13">
        <v>3</v>
      </c>
      <c r="B13" t="s">
        <v>873</v>
      </c>
      <c r="C13" t="e">
        <f>HLOOKUP(B13,Data2!Exportation,1,FALSE)</f>
        <v>#N/A</v>
      </c>
      <c r="D13" t="s">
        <v>93</v>
      </c>
    </row>
    <row r="14" spans="1:4" x14ac:dyDescent="0.2">
      <c r="A14">
        <v>4</v>
      </c>
      <c r="B14" t="s">
        <v>874</v>
      </c>
      <c r="C14" t="e">
        <f>HLOOKUP(B14,Data2!Exportation,1,FALSE)</f>
        <v>#N/A</v>
      </c>
      <c r="D14" t="s">
        <v>94</v>
      </c>
    </row>
    <row r="15" spans="1:4" x14ac:dyDescent="0.2">
      <c r="A15">
        <v>5</v>
      </c>
      <c r="B15" t="s">
        <v>110</v>
      </c>
      <c r="C15" t="str">
        <f>HLOOKUP(B15,Data2!Exportation,1,FALSE)</f>
        <v>SignCP</v>
      </c>
      <c r="D15" t="s">
        <v>95</v>
      </c>
    </row>
    <row r="16" spans="1:4" x14ac:dyDescent="0.2">
      <c r="A16">
        <v>6</v>
      </c>
      <c r="B16" s="66" t="s">
        <v>875</v>
      </c>
      <c r="C16" t="e">
        <f>HLOOKUP(B16,Data2!Exportation,1,FALSE)</f>
        <v>#N/A</v>
      </c>
      <c r="D16" t="s">
        <v>102</v>
      </c>
    </row>
    <row r="17" spans="1:4" x14ac:dyDescent="0.2">
      <c r="A17">
        <v>7</v>
      </c>
      <c r="B17" t="s">
        <v>876</v>
      </c>
      <c r="C17" t="e">
        <f>HLOOKUP(B17,Data2!Exportation,1,FALSE)</f>
        <v>#N/A</v>
      </c>
      <c r="D17" t="s">
        <v>105</v>
      </c>
    </row>
    <row r="18" spans="1:4" x14ac:dyDescent="0.2">
      <c r="A18">
        <v>8</v>
      </c>
      <c r="B18" s="105" t="s">
        <v>877</v>
      </c>
      <c r="C18" t="e">
        <f>HLOOKUP(B18,Data2!Exportation,1,FALSE)</f>
        <v>#N/A</v>
      </c>
    </row>
    <row r="19" spans="1:4" x14ac:dyDescent="0.2">
      <c r="A19">
        <v>9</v>
      </c>
      <c r="B19" s="105" t="s">
        <v>878</v>
      </c>
      <c r="C19" t="e">
        <f>HLOOKUP(B19,Data2!Exportation,1,FALSE)</f>
        <v>#N/A</v>
      </c>
    </row>
    <row r="20" spans="1:4" x14ac:dyDescent="0.2">
      <c r="A20">
        <v>10</v>
      </c>
      <c r="B20" s="105" t="s">
        <v>879</v>
      </c>
      <c r="C20" t="e">
        <f>HLOOKUP(B20,Data2!Exportation,1,FALSE)</f>
        <v>#N/A</v>
      </c>
    </row>
    <row r="21" spans="1:4" x14ac:dyDescent="0.2">
      <c r="A21">
        <v>11</v>
      </c>
      <c r="B21" s="105" t="s">
        <v>880</v>
      </c>
      <c r="C21" t="e">
        <f>HLOOKUP(B21,Data2!Exportation,1,FALSE)</f>
        <v>#N/A</v>
      </c>
    </row>
    <row r="22" spans="1:4" x14ac:dyDescent="0.2">
      <c r="A22">
        <v>12</v>
      </c>
      <c r="B22" s="105" t="s">
        <v>881</v>
      </c>
      <c r="C22" t="e">
        <f>HLOOKUP(B22,Data2!Exportation,1,FALSE)</f>
        <v>#N/A</v>
      </c>
    </row>
    <row r="23" spans="1:4" x14ac:dyDescent="0.2">
      <c r="A23">
        <v>13</v>
      </c>
      <c r="B23" s="105" t="s">
        <v>882</v>
      </c>
      <c r="C23" t="e">
        <f>HLOOKUP(B23,Data2!Exportation,1,FALSE)</f>
        <v>#N/A</v>
      </c>
    </row>
    <row r="24" spans="1:4" x14ac:dyDescent="0.2">
      <c r="A24">
        <v>14</v>
      </c>
      <c r="B24" s="105" t="s">
        <v>883</v>
      </c>
      <c r="C24" t="e">
        <f>HLOOKUP(B24,Data2!Exportation,1,FALSE)</f>
        <v>#N/A</v>
      </c>
    </row>
    <row r="25" spans="1:4" x14ac:dyDescent="0.2">
      <c r="A25">
        <v>15</v>
      </c>
      <c r="B25" s="105" t="s">
        <v>884</v>
      </c>
      <c r="C25" t="e">
        <f>HLOOKUP(B25,Data2!Exportation,1,FALSE)</f>
        <v>#N/A</v>
      </c>
    </row>
    <row r="26" spans="1:4" x14ac:dyDescent="0.2">
      <c r="A26">
        <v>16</v>
      </c>
      <c r="B26" s="105" t="s">
        <v>885</v>
      </c>
      <c r="C26" t="e">
        <f>HLOOKUP(B26,Data2!Exportation,1,FALSE)</f>
        <v>#N/A</v>
      </c>
    </row>
    <row r="27" spans="1:4" x14ac:dyDescent="0.2">
      <c r="A27">
        <v>17</v>
      </c>
      <c r="B27" s="105" t="s">
        <v>886</v>
      </c>
      <c r="C27" t="e">
        <f>HLOOKUP(B27,Data2!Exportation,1,FALSE)</f>
        <v>#N/A</v>
      </c>
    </row>
    <row r="28" spans="1:4" x14ac:dyDescent="0.2">
      <c r="A28">
        <v>18</v>
      </c>
      <c r="B28" s="105" t="s">
        <v>887</v>
      </c>
      <c r="C28" t="e">
        <f>HLOOKUP(B28,Data2!Exportation,1,FALSE)</f>
        <v>#N/A</v>
      </c>
    </row>
    <row r="29" spans="1:4" x14ac:dyDescent="0.2">
      <c r="A29">
        <v>19</v>
      </c>
      <c r="B29" s="105" t="s">
        <v>888</v>
      </c>
      <c r="C29" t="e">
        <f>HLOOKUP(B29,Data2!Exportation,1,FALSE)</f>
        <v>#N/A</v>
      </c>
    </row>
    <row r="30" spans="1:4" x14ac:dyDescent="0.2">
      <c r="A30">
        <v>20</v>
      </c>
      <c r="B30" s="105" t="s">
        <v>889</v>
      </c>
      <c r="C30" t="e">
        <f>HLOOKUP(B30,Data2!Exportation,1,FALSE)</f>
        <v>#N/A</v>
      </c>
    </row>
    <row r="31" spans="1:4" x14ac:dyDescent="0.2">
      <c r="A31">
        <v>21</v>
      </c>
      <c r="B31" s="105" t="s">
        <v>880</v>
      </c>
      <c r="C31" t="e">
        <f>HLOOKUP(B31,Data2!Exportation,1,FALSE)</f>
        <v>#N/A</v>
      </c>
    </row>
    <row r="32" spans="1:4" x14ac:dyDescent="0.2">
      <c r="A32">
        <v>22</v>
      </c>
      <c r="B32" s="105" t="s">
        <v>890</v>
      </c>
      <c r="C32" t="e">
        <f>HLOOKUP(B32,Data2!Exportation,1,FALSE)</f>
        <v>#N/A</v>
      </c>
    </row>
    <row r="33" spans="1:4" x14ac:dyDescent="0.2">
      <c r="A33">
        <v>23</v>
      </c>
      <c r="B33" s="105" t="s">
        <v>891</v>
      </c>
      <c r="C33" t="e">
        <f>HLOOKUP(B33,Data2!Exportation,1,FALSE)</f>
        <v>#N/A</v>
      </c>
    </row>
    <row r="34" spans="1:4" x14ac:dyDescent="0.2">
      <c r="A34">
        <v>24</v>
      </c>
      <c r="B34" s="105" t="s">
        <v>892</v>
      </c>
      <c r="C34" t="e">
        <f>HLOOKUP(B34,Data2!Exportation,1,FALSE)</f>
        <v>#N/A</v>
      </c>
    </row>
    <row r="35" spans="1:4" x14ac:dyDescent="0.2">
      <c r="A35">
        <v>25</v>
      </c>
      <c r="B35" s="105" t="s">
        <v>893</v>
      </c>
      <c r="C35" t="e">
        <f>HLOOKUP(B35,Data2!Exportation,1,FALSE)</f>
        <v>#N/A</v>
      </c>
    </row>
    <row r="36" spans="1:4" x14ac:dyDescent="0.2">
      <c r="A36">
        <v>26</v>
      </c>
      <c r="B36" s="105" t="s">
        <v>894</v>
      </c>
      <c r="C36" t="e">
        <f>HLOOKUP(B36,Data2!Exportation,1,FALSE)</f>
        <v>#N/A</v>
      </c>
    </row>
    <row r="37" spans="1:4" x14ac:dyDescent="0.2">
      <c r="A37">
        <v>27</v>
      </c>
      <c r="B37" s="105" t="s">
        <v>895</v>
      </c>
      <c r="C37" t="e">
        <f>HLOOKUP(B37,Data2!Exportation,1,FALSE)</f>
        <v>#N/A</v>
      </c>
    </row>
    <row r="38" spans="1:4" x14ac:dyDescent="0.2">
      <c r="A38">
        <v>28</v>
      </c>
      <c r="B38" s="105" t="s">
        <v>896</v>
      </c>
      <c r="C38" t="e">
        <f>HLOOKUP(B38,Data2!Exportation,1,FALSE)</f>
        <v>#N/A</v>
      </c>
    </row>
    <row r="39" spans="1:4" x14ac:dyDescent="0.2">
      <c r="A39">
        <v>29</v>
      </c>
      <c r="B39" s="105" t="s">
        <v>897</v>
      </c>
      <c r="C39" t="e">
        <f>HLOOKUP(B39,Data2!Exportation,1,FALSE)</f>
        <v>#N/A</v>
      </c>
      <c r="D39" s="66"/>
    </row>
    <row r="40" spans="1:4" x14ac:dyDescent="0.2">
      <c r="A40">
        <v>30</v>
      </c>
      <c r="B40" t="s">
        <v>898</v>
      </c>
      <c r="C40" t="e">
        <f>HLOOKUP(B40,Data2!Exportation,1,FALSE)</f>
        <v>#N/A</v>
      </c>
      <c r="D40" s="66" t="s">
        <v>103</v>
      </c>
    </row>
    <row r="41" spans="1:4" x14ac:dyDescent="0.2">
      <c r="A41">
        <v>31</v>
      </c>
      <c r="B41" t="s">
        <v>899</v>
      </c>
      <c r="C41" t="str">
        <f>HLOOKUP(B41,Data2!Exportation,1,FALSE)</f>
        <v>SignNom</v>
      </c>
      <c r="D41" s="66"/>
    </row>
    <row r="42" spans="1:4" x14ac:dyDescent="0.2">
      <c r="A42">
        <v>32</v>
      </c>
      <c r="B42" t="s">
        <v>876</v>
      </c>
      <c r="C42" t="e">
        <f>HLOOKUP(B42,Data2!Exportation,1,FALSE)</f>
        <v>#N/A</v>
      </c>
      <c r="D42" s="66" t="s">
        <v>105</v>
      </c>
    </row>
    <row r="43" spans="1:4" x14ac:dyDescent="0.2">
      <c r="A43">
        <v>33</v>
      </c>
      <c r="B43" s="105" t="s">
        <v>900</v>
      </c>
      <c r="C43" t="e">
        <f>HLOOKUP(B43,Data2!Exportation,1,FALSE)</f>
        <v>#N/A</v>
      </c>
    </row>
    <row r="44" spans="1:4" x14ac:dyDescent="0.2">
      <c r="A44">
        <v>34</v>
      </c>
      <c r="B44" s="105" t="s">
        <v>901</v>
      </c>
      <c r="C44" t="e">
        <f>HLOOKUP(B44,Data2!Exportation,1,FALSE)</f>
        <v>#N/A</v>
      </c>
    </row>
    <row r="45" spans="1:4" x14ac:dyDescent="0.2">
      <c r="A45">
        <v>35</v>
      </c>
      <c r="B45" t="s">
        <v>902</v>
      </c>
      <c r="C45" t="e">
        <f>HLOOKUP(B45,Data2!Exportation,1,FALSE)</f>
        <v>#N/A</v>
      </c>
      <c r="D45" t="s">
        <v>120</v>
      </c>
    </row>
    <row r="46" spans="1:4" x14ac:dyDescent="0.2">
      <c r="A46">
        <v>36</v>
      </c>
      <c r="B46" t="s">
        <v>903</v>
      </c>
      <c r="C46" t="e">
        <f>HLOOKUP(B46,Data2!Exportation,1,FALSE)</f>
        <v>#N/A</v>
      </c>
      <c r="D46" t="s">
        <v>119</v>
      </c>
    </row>
    <row r="47" spans="1:4" x14ac:dyDescent="0.2">
      <c r="A47">
        <v>37</v>
      </c>
      <c r="B47" t="s">
        <v>904</v>
      </c>
      <c r="C47" t="e">
        <f>HLOOKUP(B47,Data2!Exportation,1,FALSE)</f>
        <v>#N/A</v>
      </c>
      <c r="D47" t="s">
        <v>122</v>
      </c>
    </row>
    <row r="48" spans="1:4" x14ac:dyDescent="0.2">
      <c r="A48">
        <v>38</v>
      </c>
      <c r="B48" s="105" t="s">
        <v>893</v>
      </c>
      <c r="C48" t="e">
        <f>HLOOKUP(B48,Data2!Exportation,1,FALSE)</f>
        <v>#N/A</v>
      </c>
    </row>
    <row r="49" spans="1:4" x14ac:dyDescent="0.2">
      <c r="A49">
        <v>39</v>
      </c>
      <c r="B49" s="105" t="s">
        <v>894</v>
      </c>
      <c r="C49" t="e">
        <f>HLOOKUP(B49,Data2!Exportation,1,FALSE)</f>
        <v>#N/A</v>
      </c>
    </row>
    <row r="50" spans="1:4" x14ac:dyDescent="0.2">
      <c r="A50">
        <v>40</v>
      </c>
      <c r="B50" s="105" t="s">
        <v>896</v>
      </c>
      <c r="C50" t="e">
        <f>HLOOKUP(B50,Data2!Exportation,1,FALSE)</f>
        <v>#N/A</v>
      </c>
    </row>
    <row r="51" spans="1:4" x14ac:dyDescent="0.2">
      <c r="A51">
        <v>41</v>
      </c>
      <c r="B51" s="105" t="s">
        <v>905</v>
      </c>
      <c r="C51" t="e">
        <f>HLOOKUP(B51,Data2!Exportation,1,FALSE)</f>
        <v>#N/A</v>
      </c>
    </row>
    <row r="52" spans="1:4" x14ac:dyDescent="0.2">
      <c r="A52">
        <v>42</v>
      </c>
      <c r="B52" s="105" t="s">
        <v>906</v>
      </c>
      <c r="C52" t="e">
        <f>HLOOKUP(B52,Data2!Exportation,1,FALSE)</f>
        <v>#N/A</v>
      </c>
    </row>
    <row r="53" spans="1:4" x14ac:dyDescent="0.2">
      <c r="A53">
        <v>43</v>
      </c>
      <c r="B53" s="105" t="s">
        <v>907</v>
      </c>
      <c r="C53" t="e">
        <f>HLOOKUP(B53,Data2!Exportation,1,FALSE)</f>
        <v>#N/A</v>
      </c>
    </row>
    <row r="54" spans="1:4" x14ac:dyDescent="0.2">
      <c r="A54">
        <v>44</v>
      </c>
      <c r="B54" t="s">
        <v>902</v>
      </c>
      <c r="C54" t="e">
        <f>HLOOKUP(B54,Data2!Exportation,1,FALSE)</f>
        <v>#N/A</v>
      </c>
      <c r="D54" t="s">
        <v>120</v>
      </c>
    </row>
    <row r="55" spans="1:4" x14ac:dyDescent="0.2">
      <c r="A55">
        <v>45</v>
      </c>
      <c r="B55" t="s">
        <v>903</v>
      </c>
      <c r="C55" t="e">
        <f>HLOOKUP(B55,Data2!Exportation,1,FALSE)</f>
        <v>#N/A</v>
      </c>
      <c r="D55" t="s">
        <v>119</v>
      </c>
    </row>
    <row r="56" spans="1:4" x14ac:dyDescent="0.2">
      <c r="A56">
        <v>46</v>
      </c>
      <c r="B56" t="s">
        <v>908</v>
      </c>
      <c r="C56" t="e">
        <f>HLOOKUP(B56,Data2!Exportation,1,FALSE)</f>
        <v>#N/A</v>
      </c>
      <c r="D56" t="s">
        <v>122</v>
      </c>
    </row>
    <row r="57" spans="1:4" x14ac:dyDescent="0.2">
      <c r="A57">
        <v>47</v>
      </c>
      <c r="B57" t="s">
        <v>909</v>
      </c>
      <c r="C57" t="e">
        <f>HLOOKUP(B57,Data2!Exportation,1,FALSE)</f>
        <v>#N/A</v>
      </c>
      <c r="D57" t="s">
        <v>124</v>
      </c>
    </row>
    <row r="58" spans="1:4" x14ac:dyDescent="0.2">
      <c r="A58">
        <v>48</v>
      </c>
      <c r="B58" t="s">
        <v>910</v>
      </c>
      <c r="C58" t="e">
        <f>HLOOKUP(B58,Data2!Exportation,1,FALSE)</f>
        <v>#N/A</v>
      </c>
      <c r="D58" t="s">
        <v>125</v>
      </c>
    </row>
    <row r="59" spans="1:4" x14ac:dyDescent="0.2">
      <c r="A59">
        <v>49</v>
      </c>
      <c r="B59" t="s">
        <v>911</v>
      </c>
      <c r="C59" t="e">
        <f>HLOOKUP(B59,Data2!Exportation,1,FALSE)</f>
        <v>#N/A</v>
      </c>
      <c r="D59" t="s">
        <v>126</v>
      </c>
    </row>
    <row r="60" spans="1:4" x14ac:dyDescent="0.2">
      <c r="A60">
        <v>50</v>
      </c>
      <c r="B60" t="s">
        <v>912</v>
      </c>
      <c r="C60" t="e">
        <f>HLOOKUP(B60,Data2!Exportation,1,FALSE)</f>
        <v>#N/A</v>
      </c>
    </row>
    <row r="61" spans="1:4" x14ac:dyDescent="0.2">
      <c r="A61">
        <v>51</v>
      </c>
      <c r="B61" t="s">
        <v>913</v>
      </c>
      <c r="C61" t="e">
        <f>HLOOKUP(B61,Data2!Exportation,1,FALSE)</f>
        <v>#N/A</v>
      </c>
      <c r="D61" t="s">
        <v>127</v>
      </c>
    </row>
    <row r="62" spans="1:4" x14ac:dyDescent="0.2">
      <c r="A62">
        <v>52</v>
      </c>
      <c r="B62" t="s">
        <v>914</v>
      </c>
      <c r="C62" t="e">
        <f>HLOOKUP(B62,Data2!Exportation,1,FALSE)</f>
        <v>#N/A</v>
      </c>
      <c r="D62" s="66" t="s">
        <v>129</v>
      </c>
    </row>
    <row r="63" spans="1:4" x14ac:dyDescent="0.2">
      <c r="A63">
        <v>53</v>
      </c>
      <c r="B63" t="s">
        <v>915</v>
      </c>
      <c r="C63" t="e">
        <f>HLOOKUP(B63,Data2!Exportation,1,FALSE)</f>
        <v>#N/A</v>
      </c>
      <c r="D63" s="66" t="s">
        <v>130</v>
      </c>
    </row>
    <row r="64" spans="1:4" x14ac:dyDescent="0.2">
      <c r="A64">
        <v>54</v>
      </c>
      <c r="B64" t="s">
        <v>916</v>
      </c>
      <c r="C64" t="e">
        <f>HLOOKUP(B64,Data2!Exportation,1,FALSE)</f>
        <v>#N/A</v>
      </c>
    </row>
    <row r="65" spans="1:4" x14ac:dyDescent="0.2">
      <c r="A65">
        <v>55</v>
      </c>
      <c r="B65" t="s">
        <v>917</v>
      </c>
      <c r="C65" t="e">
        <f>HLOOKUP(B65,Data2!Exportation,1,FALSE)</f>
        <v>#N/A</v>
      </c>
      <c r="D65" t="s">
        <v>123</v>
      </c>
    </row>
    <row r="66" spans="1:4" x14ac:dyDescent="0.2">
      <c r="A66">
        <v>56</v>
      </c>
      <c r="B66" s="105" t="s">
        <v>918</v>
      </c>
      <c r="C66" t="e">
        <f>HLOOKUP(B66,Data2!Exportation,1,FALSE)</f>
        <v>#N/A</v>
      </c>
    </row>
    <row r="67" spans="1:4" x14ac:dyDescent="0.2">
      <c r="A67">
        <v>57</v>
      </c>
      <c r="B67" s="105" t="s">
        <v>919</v>
      </c>
      <c r="C67" t="e">
        <f>HLOOKUP(B67,Data2!Exportation,1,FALSE)</f>
        <v>#N/A</v>
      </c>
    </row>
    <row r="68" spans="1:4" x14ac:dyDescent="0.2">
      <c r="A68">
        <v>58</v>
      </c>
      <c r="B68" s="105" t="s">
        <v>920</v>
      </c>
      <c r="C68" t="e">
        <f>HLOOKUP(B68,Data2!Exportation,1,FALSE)</f>
        <v>#N/A</v>
      </c>
    </row>
    <row r="69" spans="1:4" x14ac:dyDescent="0.2">
      <c r="A69">
        <v>59</v>
      </c>
      <c r="B69" t="s">
        <v>874</v>
      </c>
      <c r="C69" t="e">
        <f>HLOOKUP(B69,Data2!Exportation,1,FALSE)</f>
        <v>#N/A</v>
      </c>
      <c r="D69" t="s">
        <v>109</v>
      </c>
    </row>
    <row r="70" spans="1:4" x14ac:dyDescent="0.2">
      <c r="A70">
        <v>60</v>
      </c>
      <c r="B70" t="s">
        <v>102</v>
      </c>
      <c r="C70" t="str">
        <f>HLOOKUP(B70,Data2!Exportation,1,FALSE)</f>
        <v>SignNom</v>
      </c>
    </row>
    <row r="71" spans="1:4" x14ac:dyDescent="0.2">
      <c r="A71">
        <v>61</v>
      </c>
      <c r="B71" t="s">
        <v>921</v>
      </c>
      <c r="C71" t="e">
        <f>HLOOKUP(B71,Data2!Exportation,1,FALSE)</f>
        <v>#N/A</v>
      </c>
      <c r="D71" t="s">
        <v>105</v>
      </c>
    </row>
    <row r="72" spans="1:4" x14ac:dyDescent="0.2">
      <c r="A72">
        <v>62</v>
      </c>
      <c r="B72" t="s">
        <v>922</v>
      </c>
      <c r="C72" t="e">
        <f>HLOOKUP(B72,Data2!Exportation,1,FALSE)</f>
        <v>#N/A</v>
      </c>
      <c r="D72" t="s">
        <v>92</v>
      </c>
    </row>
    <row r="73" spans="1:4" x14ac:dyDescent="0.2">
      <c r="A73">
        <v>63</v>
      </c>
      <c r="B73" s="105" t="s">
        <v>889</v>
      </c>
      <c r="C73" t="e">
        <f>HLOOKUP(B73,Data2!Exportation,1,FALSE)</f>
        <v>#N/A</v>
      </c>
    </row>
    <row r="74" spans="1:4" x14ac:dyDescent="0.2">
      <c r="A74">
        <v>64</v>
      </c>
      <c r="B74" s="105" t="s">
        <v>923</v>
      </c>
      <c r="C74" t="e">
        <f>HLOOKUP(B74,Data2!Exportation,1,FALSE)</f>
        <v>#N/A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pageSetUpPr autoPageBreaks="0" fitToPage="1"/>
  </sheetPr>
  <dimension ref="A2:AR59"/>
  <sheetViews>
    <sheetView showGridLines="0" showRowColHeaders="0" showOutlineSymbols="0" zoomScaleNormal="100" workbookViewId="0">
      <selection activeCell="C8" sqref="C8:H8"/>
    </sheetView>
  </sheetViews>
  <sheetFormatPr baseColWidth="10" defaultColWidth="11.42578125" defaultRowHeight="12.75" x14ac:dyDescent="0.2"/>
  <cols>
    <col min="1" max="1" width="8.5703125" customWidth="1"/>
    <col min="2" max="2" width="29.85546875" customWidth="1"/>
    <col min="3" max="3" width="10.5703125" customWidth="1"/>
    <col min="4" max="4" width="16.85546875" customWidth="1"/>
    <col min="5" max="5" width="7.5703125" customWidth="1"/>
    <col min="6" max="6" width="17.140625" customWidth="1"/>
    <col min="7" max="8" width="6" customWidth="1"/>
    <col min="9" max="9" width="8" customWidth="1"/>
    <col min="10" max="10" width="10.85546875" customWidth="1"/>
    <col min="11" max="11" width="9.5703125" customWidth="1"/>
    <col min="12" max="12" width="9.42578125" customWidth="1"/>
    <col min="13" max="15" width="9" customWidth="1"/>
    <col min="16" max="16" width="10" customWidth="1"/>
    <col min="17" max="19" width="10.42578125" customWidth="1"/>
    <col min="20" max="20" width="9.85546875" customWidth="1"/>
    <col min="21" max="21" width="10" customWidth="1"/>
    <col min="22" max="22" width="7.85546875" customWidth="1"/>
    <col min="23" max="23" width="6.85546875" customWidth="1"/>
    <col min="24" max="24" width="6.42578125" customWidth="1"/>
    <col min="25" max="25" width="5.42578125" customWidth="1"/>
    <col min="26" max="26" width="4.5703125" customWidth="1"/>
    <col min="27" max="27" width="10" customWidth="1"/>
    <col min="28" max="28" width="20.42578125" customWidth="1"/>
    <col min="29" max="29" width="9.42578125" customWidth="1"/>
    <col min="30" max="30" width="5.5703125" customWidth="1"/>
    <col min="31" max="31" width="5.42578125" customWidth="1"/>
    <col min="32" max="32" width="6" customWidth="1"/>
    <col min="33" max="33" width="6" hidden="1" customWidth="1"/>
    <col min="34" max="34" width="10.5703125" style="66" hidden="1" customWidth="1"/>
    <col min="35" max="35" width="16.5703125" style="66" hidden="1" customWidth="1"/>
    <col min="36" max="36" width="13.5703125" style="66" hidden="1" customWidth="1"/>
    <col min="37" max="38" width="14.140625" style="66" hidden="1" customWidth="1"/>
    <col min="39" max="39" width="14.42578125" style="66" hidden="1" customWidth="1"/>
    <col min="40" max="40" width="11.42578125" style="66" hidden="1" customWidth="1"/>
    <col min="41" max="41" width="11.5703125" style="66" hidden="1" customWidth="1"/>
    <col min="42" max="42" width="12.85546875" style="66" hidden="1" customWidth="1"/>
    <col min="43" max="43" width="9.85546875" style="66" hidden="1" customWidth="1"/>
    <col min="44" max="44" width="20.140625" style="66" hidden="1" customWidth="1"/>
  </cols>
  <sheetData>
    <row r="2" spans="1:44" ht="18.95" customHeight="1" x14ac:dyDescent="0.2"/>
    <row r="3" spans="1:44" ht="18" customHeight="1" x14ac:dyDescent="0.2"/>
    <row r="4" spans="1:44" ht="12.75" customHeight="1" x14ac:dyDescent="0.2"/>
    <row r="5" spans="1:44" ht="15.75" x14ac:dyDescent="0.25">
      <c r="A5" s="7" t="s">
        <v>924</v>
      </c>
    </row>
    <row r="6" spans="1:44" ht="15.75" x14ac:dyDescent="0.25">
      <c r="A6" s="7"/>
    </row>
    <row r="7" spans="1:44" ht="15.75" x14ac:dyDescent="0.25">
      <c r="A7" s="7"/>
      <c r="U7" s="113"/>
      <c r="AB7" s="140"/>
      <c r="AC7" s="140"/>
      <c r="AD7" s="140"/>
    </row>
    <row r="8" spans="1:44" x14ac:dyDescent="0.2">
      <c r="A8" s="8"/>
      <c r="B8" s="114" t="s">
        <v>925</v>
      </c>
      <c r="C8" s="171" t="e">
        <f>IF(#REF!="","",#REF!)</f>
        <v>#REF!</v>
      </c>
      <c r="D8" s="171"/>
      <c r="E8" s="171"/>
      <c r="F8" s="171"/>
      <c r="G8" s="171"/>
      <c r="AA8" s="114" t="s">
        <v>926</v>
      </c>
      <c r="AB8" s="154" t="e">
        <f>CONCATENATE(IF(#REF!="","",#REF!)," ",IF(#REF!="","",#REF!))</f>
        <v>#REF!</v>
      </c>
      <c r="AC8" s="154"/>
      <c r="AD8" s="154"/>
      <c r="AE8" s="154"/>
      <c r="AF8" s="154"/>
      <c r="AG8" s="95"/>
    </row>
    <row r="9" spans="1:44" x14ac:dyDescent="0.2">
      <c r="A9" s="8"/>
      <c r="B9" s="114" t="s">
        <v>927</v>
      </c>
      <c r="C9" s="155"/>
      <c r="D9" s="155"/>
      <c r="J9" s="59"/>
      <c r="AA9" s="114" t="s">
        <v>928</v>
      </c>
      <c r="AB9" s="155"/>
      <c r="AC9" s="155"/>
      <c r="AD9" s="59"/>
      <c r="AE9" s="59"/>
    </row>
    <row r="10" spans="1:44" x14ac:dyDescent="0.2">
      <c r="G10" s="113"/>
      <c r="H10" s="113"/>
      <c r="M10" s="59"/>
      <c r="N10" s="59"/>
      <c r="O10" s="59"/>
      <c r="AB10" s="140"/>
      <c r="AC10" s="140"/>
      <c r="AD10" s="140"/>
    </row>
    <row r="11" spans="1:44" s="23" customFormat="1" ht="21" customHeight="1" x14ac:dyDescent="0.2">
      <c r="A11" s="85" t="s">
        <v>929</v>
      </c>
      <c r="B11" s="45"/>
      <c r="C11" s="44"/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6"/>
      <c r="AC11" s="172" t="s">
        <v>930</v>
      </c>
      <c r="AD11" s="173"/>
      <c r="AE11" s="173"/>
      <c r="AF11" s="174"/>
      <c r="AG11" s="96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</row>
    <row r="12" spans="1:44" s="23" customFormat="1" ht="35.25" customHeight="1" x14ac:dyDescent="0.2">
      <c r="A12" s="156" t="s">
        <v>931</v>
      </c>
      <c r="B12" s="159" t="s">
        <v>932</v>
      </c>
      <c r="C12" s="159" t="s">
        <v>181</v>
      </c>
      <c r="D12" s="159" t="s">
        <v>183</v>
      </c>
      <c r="E12" s="156" t="s">
        <v>933</v>
      </c>
      <c r="F12" s="179" t="s">
        <v>934</v>
      </c>
      <c r="G12" s="185"/>
      <c r="H12" s="185"/>
      <c r="I12" s="185"/>
      <c r="J12" s="185"/>
      <c r="K12" s="186"/>
      <c r="L12" s="165" t="s">
        <v>935</v>
      </c>
      <c r="M12" s="165"/>
      <c r="N12" s="165"/>
      <c r="O12" s="165"/>
      <c r="P12" s="164"/>
      <c r="Q12" s="163" t="s">
        <v>936</v>
      </c>
      <c r="R12" s="165"/>
      <c r="S12" s="165"/>
      <c r="T12" s="164"/>
      <c r="U12" s="179" t="s">
        <v>937</v>
      </c>
      <c r="V12" s="180"/>
      <c r="W12" s="163" t="s">
        <v>938</v>
      </c>
      <c r="X12" s="164"/>
      <c r="Y12" s="166" t="s">
        <v>939</v>
      </c>
      <c r="Z12" s="166" t="s">
        <v>940</v>
      </c>
      <c r="AA12" s="177" t="s">
        <v>941</v>
      </c>
      <c r="AB12" s="159" t="s">
        <v>942</v>
      </c>
      <c r="AC12" s="177" t="s">
        <v>943</v>
      </c>
      <c r="AD12" s="166" t="s">
        <v>944</v>
      </c>
      <c r="AE12" s="166" t="s">
        <v>945</v>
      </c>
      <c r="AF12" s="166" t="s">
        <v>946</v>
      </c>
      <c r="AG12" s="9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</row>
    <row r="13" spans="1:44" s="23" customFormat="1" ht="12.75" customHeight="1" x14ac:dyDescent="0.2">
      <c r="A13" s="182"/>
      <c r="B13" s="183"/>
      <c r="C13" s="157"/>
      <c r="D13" s="157"/>
      <c r="E13" s="157"/>
      <c r="F13" s="184" t="s">
        <v>947</v>
      </c>
      <c r="G13" s="161" t="s">
        <v>759</v>
      </c>
      <c r="H13" s="156" t="s">
        <v>948</v>
      </c>
      <c r="I13" s="184" t="s">
        <v>949</v>
      </c>
      <c r="J13" s="156" t="s">
        <v>950</v>
      </c>
      <c r="K13" s="159" t="s">
        <v>951</v>
      </c>
      <c r="L13" s="159" t="s">
        <v>949</v>
      </c>
      <c r="M13" s="159" t="s">
        <v>952</v>
      </c>
      <c r="N13" s="159" t="s">
        <v>953</v>
      </c>
      <c r="O13" s="159" t="s">
        <v>954</v>
      </c>
      <c r="P13" s="159" t="s">
        <v>955</v>
      </c>
      <c r="Q13" s="163" t="s">
        <v>956</v>
      </c>
      <c r="R13" s="165"/>
      <c r="S13" s="164"/>
      <c r="T13" s="159" t="s">
        <v>957</v>
      </c>
      <c r="U13" s="159" t="s">
        <v>958</v>
      </c>
      <c r="V13" s="156" t="s">
        <v>959</v>
      </c>
      <c r="W13" s="156" t="s">
        <v>960</v>
      </c>
      <c r="X13" s="156" t="s">
        <v>961</v>
      </c>
      <c r="Y13" s="169"/>
      <c r="Z13" s="175"/>
      <c r="AA13" s="169"/>
      <c r="AB13" s="157"/>
      <c r="AC13" s="169"/>
      <c r="AD13" s="167"/>
      <c r="AE13" s="167"/>
      <c r="AF13" s="167"/>
      <c r="AG13" s="9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4" s="23" customFormat="1" ht="21.75" customHeight="1" x14ac:dyDescent="0.2">
      <c r="A14" s="160"/>
      <c r="B14" s="181"/>
      <c r="C14" s="158"/>
      <c r="D14" s="158"/>
      <c r="E14" s="158"/>
      <c r="F14" s="178"/>
      <c r="G14" s="162"/>
      <c r="H14" s="178"/>
      <c r="I14" s="160"/>
      <c r="J14" s="160"/>
      <c r="K14" s="158"/>
      <c r="L14" s="158"/>
      <c r="M14" s="158"/>
      <c r="N14" s="158"/>
      <c r="O14" s="158"/>
      <c r="P14" s="158"/>
      <c r="Q14" s="148" t="s">
        <v>962</v>
      </c>
      <c r="R14" s="148" t="s">
        <v>963</v>
      </c>
      <c r="S14" s="148" t="s">
        <v>964</v>
      </c>
      <c r="T14" s="181"/>
      <c r="U14" s="181"/>
      <c r="V14" s="160"/>
      <c r="W14" s="178"/>
      <c r="X14" s="178"/>
      <c r="Y14" s="170"/>
      <c r="Z14" s="176"/>
      <c r="AA14" s="170"/>
      <c r="AB14" s="158"/>
      <c r="AC14" s="170"/>
      <c r="AD14" s="168"/>
      <c r="AE14" s="168"/>
      <c r="AF14" s="167"/>
      <c r="AG14" s="9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 s="23" customFormat="1" ht="21.75" hidden="1" customHeight="1" x14ac:dyDescent="0.2">
      <c r="A15" s="142" t="s">
        <v>965</v>
      </c>
      <c r="B15" s="149" t="s">
        <v>932</v>
      </c>
      <c r="C15" s="141" t="s">
        <v>181</v>
      </c>
      <c r="D15" s="141" t="s">
        <v>183</v>
      </c>
      <c r="E15" s="141" t="s">
        <v>966</v>
      </c>
      <c r="F15" s="148" t="s">
        <v>967</v>
      </c>
      <c r="G15" s="143" t="s">
        <v>968</v>
      </c>
      <c r="H15" s="143" t="s">
        <v>969</v>
      </c>
      <c r="I15" s="142" t="s">
        <v>970</v>
      </c>
      <c r="J15" s="142" t="s">
        <v>971</v>
      </c>
      <c r="K15" s="141" t="s">
        <v>972</v>
      </c>
      <c r="L15" s="141" t="s">
        <v>973</v>
      </c>
      <c r="M15" s="141" t="s">
        <v>974</v>
      </c>
      <c r="N15" s="141" t="s">
        <v>975</v>
      </c>
      <c r="O15" s="141" t="s">
        <v>590</v>
      </c>
      <c r="P15" s="141" t="s">
        <v>976</v>
      </c>
      <c r="Q15" s="148" t="s">
        <v>859</v>
      </c>
      <c r="R15" s="148" t="s">
        <v>860</v>
      </c>
      <c r="S15" s="148" t="s">
        <v>861</v>
      </c>
      <c r="T15" s="149" t="s">
        <v>977</v>
      </c>
      <c r="U15" s="149" t="s">
        <v>978</v>
      </c>
      <c r="V15" s="142" t="s">
        <v>979</v>
      </c>
      <c r="W15" s="148" t="s">
        <v>980</v>
      </c>
      <c r="X15" s="148" t="s">
        <v>981</v>
      </c>
      <c r="Y15" s="146" t="s">
        <v>200</v>
      </c>
      <c r="Z15" s="147" t="s">
        <v>982</v>
      </c>
      <c r="AA15" s="146" t="s">
        <v>983</v>
      </c>
      <c r="AB15" s="141" t="s">
        <v>942</v>
      </c>
      <c r="AC15" s="146" t="s">
        <v>984</v>
      </c>
      <c r="AD15" s="145" t="s">
        <v>985</v>
      </c>
      <c r="AE15" s="145" t="s">
        <v>986</v>
      </c>
      <c r="AF15" s="144" t="s">
        <v>987</v>
      </c>
      <c r="AG15" s="145" t="s">
        <v>988</v>
      </c>
      <c r="AH15" s="67" t="s">
        <v>820</v>
      </c>
      <c r="AI15" s="67" t="s">
        <v>821</v>
      </c>
      <c r="AJ15" s="67" t="s">
        <v>989</v>
      </c>
      <c r="AK15" s="67" t="s">
        <v>990</v>
      </c>
      <c r="AL15" s="67" t="s">
        <v>991</v>
      </c>
      <c r="AM15" s="67" t="s">
        <v>992</v>
      </c>
      <c r="AN15" s="67" t="s">
        <v>993</v>
      </c>
      <c r="AO15" s="67" t="s">
        <v>994</v>
      </c>
      <c r="AP15" t="s">
        <v>693</v>
      </c>
      <c r="AQ15" t="s">
        <v>179</v>
      </c>
      <c r="AR15" t="s">
        <v>180</v>
      </c>
    </row>
    <row r="16" spans="1:44" ht="15.75" customHeight="1" x14ac:dyDescent="0.2">
      <c r="A16" s="3"/>
      <c r="B16" s="4"/>
      <c r="C16" s="4" t="s">
        <v>245</v>
      </c>
      <c r="D16" s="4"/>
      <c r="E16" s="4" t="s">
        <v>245</v>
      </c>
      <c r="F16" s="4"/>
      <c r="G16" s="36" t="str">
        <f t="shared" ref="G16:G49" ca="1" si="0">IF(F16="","",IF(OR($E16="choisir…",$E16="Aucun"),"",INDEX(OFFSET(INDIRECT($E16),,1),MATCH($F16,INDIRECT($E16),0))))</f>
        <v/>
      </c>
      <c r="H16" s="84"/>
      <c r="I16" s="38"/>
      <c r="J16" s="4"/>
      <c r="K16" s="57"/>
      <c r="L16" s="38"/>
      <c r="M16" s="55"/>
      <c r="N16" s="86"/>
      <c r="O16" s="37" t="str">
        <f t="shared" ref="O16:O49" ca="1" si="1">IF(L16="","",IF(OR(E16&lt;&gt;"Énergie",F16=""),0,INDEX(OFFSET(INDIRECT($E16),,2),MATCH($F16,INDIRECT($E16),0)))*L16/1000*IF(AND(E16="Énergie",F16&lt;&gt;""),IF(AND(INDEX(OFFSET(Énergie,,8,,),MATCH(F16,Énergie,0))=1,H16&lt;&gt;""),IF(H16=1,0,1-1.1676*H16),IF(AND(INDEX(OFFSET(Énergie,,8,,),MATCH(F16,Énergie,0))=2,H16&lt;&gt;""),1-H16,1)),1))</f>
        <v/>
      </c>
      <c r="P16" s="40" t="str">
        <f t="shared" ref="P16:P49" ca="1" si="2">IF(L16="","",IF(OR($E16="choisir…",$E16="Aucun",F16=""),0,INDEX(OFFSET(INDIRECT(IF($E16="fugitive","PRP",E16)),,3),MATCH($F16,INDIRECT(IF($E16="fugitive","PRP",E16)),0)))*L16/1000000*IF($E16="fugitive",1000,1)*IF(AND(E16="Énergie",F16&lt;&gt;""),IF(AND(INDEX(OFFSET(Énergie,,8,,),MATCH(F16,Énergie,0))=1,H16&lt;&gt;""),IF(H16=1,0,1-1.1676*H16),IF(AND(INDEX(OFFSET(Énergie,,8,,),MATCH(F16,Énergie,0))=2,H16&lt;&gt;""),1-H16,1)),1))</f>
        <v/>
      </c>
      <c r="Q16" s="89">
        <v>0</v>
      </c>
      <c r="R16" s="89">
        <v>0</v>
      </c>
      <c r="S16" s="89">
        <v>0</v>
      </c>
      <c r="T16" s="90"/>
      <c r="U16" s="89"/>
      <c r="V16" s="3" t="s">
        <v>245</v>
      </c>
      <c r="W16" s="14"/>
      <c r="X16" s="14"/>
      <c r="Y16" s="93"/>
      <c r="Z16" s="93"/>
      <c r="AA16" s="3" t="s">
        <v>245</v>
      </c>
      <c r="AB16" s="3"/>
      <c r="AC16" s="3" t="s">
        <v>245</v>
      </c>
      <c r="AD16" s="4"/>
      <c r="AE16" s="3" t="s">
        <v>314</v>
      </c>
      <c r="AF16" s="4"/>
      <c r="AG16" s="98" t="b">
        <f t="shared" ref="AG16:AG49" ca="1" si="3">INDEX(OFFSET(Aide_dem,,1,,),MATCH(AE16,Aide_dem,0))</f>
        <v>0</v>
      </c>
      <c r="AH16" s="66" t="str">
        <f ca="1">IF(C16&lt;&gt;"Choisir…",INDEX(OFFSET(Volet,,-1,,),MATCH(C16,Volet,0)),"")</f>
        <v/>
      </c>
      <c r="AI16" s="66" t="str">
        <f ca="1">IF(D16&lt;&gt;"",INDEX(OFFSET(INDIRECT(C16),,-1,,),MATCH(D16,INDIRECT(C16),0)),"")</f>
        <v/>
      </c>
      <c r="AJ16" s="66" t="str">
        <f t="shared" ref="AJ16:AJ49" ca="1" si="4">IF(E16&lt;&gt;"Choisir…",INDEX(OFFSET(Type_emission,,-1,,),MATCH(E16,Type_emission,0)),"")</f>
        <v/>
      </c>
      <c r="AK16" s="66" t="str">
        <f t="shared" ref="AK16:AK49" ca="1" si="5">IF(F16="","",INDEX(OFFSET(IF(E16="Énergie",Énergie,IF(E16="Fugitive",PRP,"")),,-1,,),MATCH(F16,IF(E16="Énergie",Énergie,IF(E16="Fugitive",PRP,"")),0)))</f>
        <v/>
      </c>
      <c r="AL16" s="66">
        <f t="shared" ref="AL16:AL49" ca="1" si="6">IF(AND(E16="Énergie",F16&lt;&gt;""),INDEX(OFFSET(Énergie,,22,,),MATCH(F16,Énergie,0)),0)*L16</f>
        <v>0</v>
      </c>
      <c r="AM16" s="66" t="str">
        <f t="shared" ref="AM16:AM49" ca="1" si="7">IF(V16&lt;&gt;"Choisir…",INDEX(OFFSET(Fin_Autre,,-1,,),MATCH(V16,Fin_Autre,0)),"")</f>
        <v/>
      </c>
      <c r="AN16" s="66" t="str">
        <f t="shared" ref="AN16:AN49" ca="1" si="8">IF(AA16&lt;&gt;"Choisir…",INDEX(OFFSET(Recom,,-1,,),MATCH(AA16,Recom,0)),"")</f>
        <v/>
      </c>
      <c r="AO16" s="66" t="str">
        <f t="shared" ref="AO16:AO49" ca="1" si="9">IF(AC16&lt;&gt;"Choisir…",INDEX(OFFSET(Action,,-1,,),MATCH(AC16,Action,0)),"")</f>
        <v/>
      </c>
      <c r="AP16" s="66" t="e">
        <f ca="1">CHOOSE(AH16,FALSE,Data!DV$2,Data!DV$2,Data!DV$2,FALSE,FALSE,Data!DV$2)</f>
        <v>#VALUE!</v>
      </c>
      <c r="AQ16" s="66" t="e">
        <f ca="1">CHOOSE(AH16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16" s="66" t="e">
        <f ca="1">IF(C16="Gestion","1151000",IF(AND(C16="Émissions_Fugitives",D16="Optimisation réfrigération"),"1151210",IF(AND(C16="Conversion",D16="Bioénergies"),"1151240",IF(AND(C16="Conversion",D16="Solaires"),"1151202",INDEX(OFFSET(Type_Entreprise,,2,,),MATCH(#REF!,Type_Entreprise,0))))))</f>
        <v>#REF!</v>
      </c>
    </row>
    <row r="17" spans="1:44" ht="15.75" customHeight="1" x14ac:dyDescent="0.2">
      <c r="A17" s="3"/>
      <c r="B17" s="4"/>
      <c r="C17" s="4" t="s">
        <v>245</v>
      </c>
      <c r="D17" s="4"/>
      <c r="E17" s="4" t="s">
        <v>245</v>
      </c>
      <c r="F17" s="4"/>
      <c r="G17" s="36" t="str">
        <f t="shared" ca="1" si="0"/>
        <v/>
      </c>
      <c r="H17" s="84"/>
      <c r="I17" s="38"/>
      <c r="J17" s="4"/>
      <c r="K17" s="57"/>
      <c r="L17" s="38"/>
      <c r="M17" s="55"/>
      <c r="N17" s="86"/>
      <c r="O17" s="37" t="str">
        <f t="shared" ca="1" si="1"/>
        <v/>
      </c>
      <c r="P17" s="40" t="str">
        <f t="shared" ca="1" si="2"/>
        <v/>
      </c>
      <c r="Q17" s="89">
        <v>0</v>
      </c>
      <c r="R17" s="89">
        <v>0</v>
      </c>
      <c r="S17" s="89">
        <v>0</v>
      </c>
      <c r="T17" s="90"/>
      <c r="U17" s="89"/>
      <c r="V17" s="3" t="s">
        <v>245</v>
      </c>
      <c r="W17" s="14"/>
      <c r="X17" s="14"/>
      <c r="Y17" s="93"/>
      <c r="Z17" s="93"/>
      <c r="AA17" s="3" t="s">
        <v>245</v>
      </c>
      <c r="AB17" s="3"/>
      <c r="AC17" s="3" t="s">
        <v>245</v>
      </c>
      <c r="AD17" s="4"/>
      <c r="AE17" s="3" t="s">
        <v>314</v>
      </c>
      <c r="AF17" s="4"/>
      <c r="AG17" s="98" t="b">
        <f t="shared" ca="1" si="3"/>
        <v>0</v>
      </c>
      <c r="AH17" s="66" t="str">
        <f t="shared" ref="AH17:AH49" ca="1" si="10">IF(C17&lt;&gt;"Choisir…",INDEX(OFFSET(Volet,,-1,,),MATCH(C17,Volet,0)),"")</f>
        <v/>
      </c>
      <c r="AI17" s="66" t="str">
        <f t="shared" ref="AI17:AI49" ca="1" si="11">IF(D17&lt;&gt;"",INDEX(OFFSET(INDIRECT(C17),,-1,,),MATCH(D17,INDIRECT(C17),0)),"")</f>
        <v/>
      </c>
      <c r="AJ17" s="66" t="str">
        <f t="shared" ca="1" si="4"/>
        <v/>
      </c>
      <c r="AK17" s="66" t="str">
        <f t="shared" ca="1" si="5"/>
        <v/>
      </c>
      <c r="AL17" s="66">
        <f t="shared" ca="1" si="6"/>
        <v>0</v>
      </c>
      <c r="AM17" s="66" t="str">
        <f t="shared" ca="1" si="7"/>
        <v/>
      </c>
      <c r="AN17" s="66" t="str">
        <f t="shared" ca="1" si="8"/>
        <v/>
      </c>
      <c r="AO17" s="66" t="str">
        <f t="shared" ca="1" si="9"/>
        <v/>
      </c>
      <c r="AP17" s="66" t="e">
        <f ca="1">CHOOSE(AH17,FALSE,Data!DV$2,Data!DV$2,Data!DV$2,FALSE,FALSE,Data!DV$2)</f>
        <v>#VALUE!</v>
      </c>
      <c r="AQ17" s="66" t="e">
        <f ca="1">CHOOSE(AH17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17" s="66" t="e">
        <f ca="1">IF(C17="Gestion","1151000",IF(AND(C17="Émissions_Fugitives",D17="Optimisation réfrigération"),"1151210",IF(AND(C17="Conversion",D17="Bioénergies"),"1151240",IF(AND(C17="Conversion",D17="Solaires"),"1151202",INDEX(OFFSET(Type_Entreprise,,2,,),MATCH(#REF!,Type_Entreprise,0))))))</f>
        <v>#REF!</v>
      </c>
    </row>
    <row r="18" spans="1:44" ht="15.75" customHeight="1" x14ac:dyDescent="0.2">
      <c r="A18" s="3"/>
      <c r="B18" s="4"/>
      <c r="C18" s="4" t="s">
        <v>245</v>
      </c>
      <c r="D18" s="4"/>
      <c r="E18" s="4" t="s">
        <v>245</v>
      </c>
      <c r="F18" s="4"/>
      <c r="G18" s="36" t="str">
        <f t="shared" ca="1" si="0"/>
        <v/>
      </c>
      <c r="H18" s="84"/>
      <c r="I18" s="38"/>
      <c r="J18" s="4"/>
      <c r="K18" s="57"/>
      <c r="L18" s="38"/>
      <c r="M18" s="55"/>
      <c r="N18" s="86"/>
      <c r="O18" s="37" t="str">
        <f t="shared" ca="1" si="1"/>
        <v/>
      </c>
      <c r="P18" s="40" t="str">
        <f t="shared" ca="1" si="2"/>
        <v/>
      </c>
      <c r="Q18" s="89">
        <v>0</v>
      </c>
      <c r="R18" s="89">
        <v>0</v>
      </c>
      <c r="S18" s="89">
        <v>0</v>
      </c>
      <c r="T18" s="90"/>
      <c r="U18" s="89"/>
      <c r="V18" s="3" t="s">
        <v>245</v>
      </c>
      <c r="W18" s="14"/>
      <c r="X18" s="14"/>
      <c r="Y18" s="93"/>
      <c r="Z18" s="93"/>
      <c r="AA18" s="3" t="s">
        <v>245</v>
      </c>
      <c r="AB18" s="3"/>
      <c r="AC18" s="3" t="s">
        <v>245</v>
      </c>
      <c r="AD18" s="4"/>
      <c r="AE18" s="3" t="s">
        <v>314</v>
      </c>
      <c r="AF18" s="4"/>
      <c r="AG18" s="98" t="b">
        <f t="shared" ca="1" si="3"/>
        <v>0</v>
      </c>
      <c r="AH18" s="66" t="str">
        <f t="shared" ca="1" si="10"/>
        <v/>
      </c>
      <c r="AI18" s="66" t="str">
        <f t="shared" ca="1" si="11"/>
        <v/>
      </c>
      <c r="AJ18" s="66" t="str">
        <f t="shared" ca="1" si="4"/>
        <v/>
      </c>
      <c r="AK18" s="66" t="str">
        <f t="shared" ca="1" si="5"/>
        <v/>
      </c>
      <c r="AL18" s="66">
        <f t="shared" ca="1" si="6"/>
        <v>0</v>
      </c>
      <c r="AM18" s="66" t="str">
        <f t="shared" ca="1" si="7"/>
        <v/>
      </c>
      <c r="AN18" s="66" t="str">
        <f t="shared" ca="1" si="8"/>
        <v/>
      </c>
      <c r="AO18" s="66" t="str">
        <f t="shared" ca="1" si="9"/>
        <v/>
      </c>
      <c r="AP18" s="66" t="e">
        <f ca="1">CHOOSE(AH18,FALSE,Data!DV$2,Data!DV$2,Data!DV$2,FALSE,FALSE,Data!DV$2)</f>
        <v>#VALUE!</v>
      </c>
      <c r="AQ18" s="66" t="e">
        <f ca="1">CHOOSE(AH18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18" s="66" t="e">
        <f ca="1">IF(C18="Gestion","1151000",IF(AND(C18="Émissions_Fugitives",D18="Optimisation réfrigération"),"1151210",IF(AND(C18="Conversion",D18="Bioénergies"),"1151240",IF(AND(C18="Conversion",D18="Solaires"),"1151202",INDEX(OFFSET(Type_Entreprise,,2,,),MATCH(#REF!,Type_Entreprise,0))))))</f>
        <v>#REF!</v>
      </c>
    </row>
    <row r="19" spans="1:44" ht="15.75" customHeight="1" x14ac:dyDescent="0.2">
      <c r="A19" s="3"/>
      <c r="B19" s="4"/>
      <c r="C19" s="4" t="s">
        <v>245</v>
      </c>
      <c r="D19" s="4"/>
      <c r="E19" s="4" t="s">
        <v>245</v>
      </c>
      <c r="F19" s="4"/>
      <c r="G19" s="36" t="str">
        <f t="shared" ca="1" si="0"/>
        <v/>
      </c>
      <c r="H19" s="84"/>
      <c r="I19" s="38"/>
      <c r="J19" s="4"/>
      <c r="K19" s="57"/>
      <c r="L19" s="38"/>
      <c r="M19" s="55"/>
      <c r="N19" s="86"/>
      <c r="O19" s="37" t="str">
        <f t="shared" ca="1" si="1"/>
        <v/>
      </c>
      <c r="P19" s="40" t="str">
        <f t="shared" ca="1" si="2"/>
        <v/>
      </c>
      <c r="Q19" s="89">
        <v>0</v>
      </c>
      <c r="R19" s="89">
        <v>0</v>
      </c>
      <c r="S19" s="89">
        <v>0</v>
      </c>
      <c r="T19" s="90"/>
      <c r="U19" s="89"/>
      <c r="V19" s="3" t="s">
        <v>245</v>
      </c>
      <c r="W19" s="14"/>
      <c r="X19" s="14"/>
      <c r="Y19" s="93"/>
      <c r="Z19" s="93"/>
      <c r="AA19" s="3" t="s">
        <v>245</v>
      </c>
      <c r="AB19" s="3"/>
      <c r="AC19" s="3" t="s">
        <v>245</v>
      </c>
      <c r="AD19" s="4"/>
      <c r="AE19" s="3" t="s">
        <v>314</v>
      </c>
      <c r="AF19" s="4"/>
      <c r="AG19" s="98" t="b">
        <f t="shared" ca="1" si="3"/>
        <v>0</v>
      </c>
      <c r="AH19" s="66" t="str">
        <f t="shared" ca="1" si="10"/>
        <v/>
      </c>
      <c r="AI19" s="66" t="str">
        <f t="shared" ca="1" si="11"/>
        <v/>
      </c>
      <c r="AJ19" s="66" t="str">
        <f t="shared" ca="1" si="4"/>
        <v/>
      </c>
      <c r="AK19" s="66" t="str">
        <f t="shared" ca="1" si="5"/>
        <v/>
      </c>
      <c r="AL19" s="66">
        <f t="shared" ca="1" si="6"/>
        <v>0</v>
      </c>
      <c r="AM19" s="66" t="str">
        <f t="shared" ca="1" si="7"/>
        <v/>
      </c>
      <c r="AN19" s="66" t="str">
        <f t="shared" ca="1" si="8"/>
        <v/>
      </c>
      <c r="AO19" s="66" t="str">
        <f t="shared" ca="1" si="9"/>
        <v/>
      </c>
      <c r="AP19" s="66" t="e">
        <f ca="1">CHOOSE(AH19,FALSE,Data!DV$2,Data!DV$2,Data!DV$2,FALSE,FALSE,Data!DV$2)</f>
        <v>#VALUE!</v>
      </c>
      <c r="AQ19" s="66" t="e">
        <f ca="1">CHOOSE(AH19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19" s="66" t="e">
        <f ca="1">IF(C19="Gestion","1151000",IF(AND(C19="Émissions_Fugitives",D19="Optimisation réfrigération"),"1151210",IF(AND(C19="Conversion",D19="Bioénergies"),"1151240",IF(AND(C19="Conversion",D19="Solaires"),"1151202",INDEX(OFFSET(Type_Entreprise,,2,,),MATCH(#REF!,Type_Entreprise,0))))))</f>
        <v>#REF!</v>
      </c>
    </row>
    <row r="20" spans="1:44" ht="15.75" customHeight="1" x14ac:dyDescent="0.2">
      <c r="A20" s="3"/>
      <c r="B20" s="4"/>
      <c r="C20" s="4" t="s">
        <v>245</v>
      </c>
      <c r="D20" s="4"/>
      <c r="E20" s="4" t="s">
        <v>245</v>
      </c>
      <c r="F20" s="4"/>
      <c r="G20" s="36" t="str">
        <f t="shared" ca="1" si="0"/>
        <v/>
      </c>
      <c r="H20" s="84"/>
      <c r="I20" s="38"/>
      <c r="J20" s="4"/>
      <c r="K20" s="57"/>
      <c r="L20" s="38"/>
      <c r="M20" s="55"/>
      <c r="N20" s="86"/>
      <c r="O20" s="37" t="str">
        <f t="shared" ca="1" si="1"/>
        <v/>
      </c>
      <c r="P20" s="40" t="str">
        <f t="shared" ca="1" si="2"/>
        <v/>
      </c>
      <c r="Q20" s="89">
        <v>0</v>
      </c>
      <c r="R20" s="89">
        <v>0</v>
      </c>
      <c r="S20" s="89">
        <v>0</v>
      </c>
      <c r="T20" s="90"/>
      <c r="U20" s="89"/>
      <c r="V20" s="3" t="s">
        <v>245</v>
      </c>
      <c r="W20" s="14"/>
      <c r="X20" s="14"/>
      <c r="Y20" s="93"/>
      <c r="Z20" s="93"/>
      <c r="AA20" s="3" t="s">
        <v>245</v>
      </c>
      <c r="AB20" s="3"/>
      <c r="AC20" s="3" t="s">
        <v>245</v>
      </c>
      <c r="AD20" s="4"/>
      <c r="AE20" s="3" t="s">
        <v>314</v>
      </c>
      <c r="AF20" s="4"/>
      <c r="AG20" s="98" t="b">
        <f t="shared" ca="1" si="3"/>
        <v>0</v>
      </c>
      <c r="AH20" s="66" t="str">
        <f t="shared" ca="1" si="10"/>
        <v/>
      </c>
      <c r="AI20" s="66" t="str">
        <f t="shared" ca="1" si="11"/>
        <v/>
      </c>
      <c r="AJ20" s="66" t="str">
        <f t="shared" ca="1" si="4"/>
        <v/>
      </c>
      <c r="AK20" s="66" t="str">
        <f t="shared" ca="1" si="5"/>
        <v/>
      </c>
      <c r="AL20" s="66">
        <f t="shared" ca="1" si="6"/>
        <v>0</v>
      </c>
      <c r="AM20" s="66" t="str">
        <f t="shared" ca="1" si="7"/>
        <v/>
      </c>
      <c r="AN20" s="66" t="str">
        <f t="shared" ca="1" si="8"/>
        <v/>
      </c>
      <c r="AO20" s="66" t="str">
        <f t="shared" ca="1" si="9"/>
        <v/>
      </c>
      <c r="AP20" s="66" t="e">
        <f ca="1">CHOOSE(AH20,FALSE,Data!DV$2,Data!DV$2,Data!DV$2,FALSE,FALSE,Data!DV$2)</f>
        <v>#VALUE!</v>
      </c>
      <c r="AQ20" s="66" t="e">
        <f ca="1">CHOOSE(AH20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0" s="66" t="e">
        <f ca="1">IF(C20="Gestion","1151000",IF(AND(C20="Émissions_Fugitives",D20="Optimisation réfrigération"),"1151210",IF(AND(C20="Conversion",D20="Bioénergies"),"1151240",IF(AND(C20="Conversion",D20="Solaires"),"1151202",INDEX(OFFSET(Type_Entreprise,,2,,),MATCH(#REF!,Type_Entreprise,0))))))</f>
        <v>#REF!</v>
      </c>
    </row>
    <row r="21" spans="1:44" ht="15.75" customHeight="1" x14ac:dyDescent="0.2">
      <c r="A21" s="3"/>
      <c r="B21" s="4"/>
      <c r="C21" s="4" t="s">
        <v>245</v>
      </c>
      <c r="D21" s="4"/>
      <c r="E21" s="4" t="s">
        <v>245</v>
      </c>
      <c r="F21" s="4"/>
      <c r="G21" s="36" t="str">
        <f t="shared" ca="1" si="0"/>
        <v/>
      </c>
      <c r="H21" s="84"/>
      <c r="I21" s="38"/>
      <c r="J21" s="4"/>
      <c r="K21" s="57"/>
      <c r="L21" s="38"/>
      <c r="M21" s="55"/>
      <c r="N21" s="86"/>
      <c r="O21" s="37" t="str">
        <f t="shared" ca="1" si="1"/>
        <v/>
      </c>
      <c r="P21" s="40" t="str">
        <f t="shared" ca="1" si="2"/>
        <v/>
      </c>
      <c r="Q21" s="89">
        <v>0</v>
      </c>
      <c r="R21" s="89">
        <v>0</v>
      </c>
      <c r="S21" s="89">
        <v>0</v>
      </c>
      <c r="T21" s="90"/>
      <c r="U21" s="89"/>
      <c r="V21" s="3" t="s">
        <v>245</v>
      </c>
      <c r="W21" s="14"/>
      <c r="X21" s="14"/>
      <c r="Y21" s="93"/>
      <c r="Z21" s="93"/>
      <c r="AA21" s="3" t="s">
        <v>245</v>
      </c>
      <c r="AB21" s="3"/>
      <c r="AC21" s="3" t="s">
        <v>245</v>
      </c>
      <c r="AD21" s="4"/>
      <c r="AE21" s="3" t="s">
        <v>314</v>
      </c>
      <c r="AF21" s="4"/>
      <c r="AG21" s="98" t="b">
        <f t="shared" ca="1" si="3"/>
        <v>0</v>
      </c>
      <c r="AH21" s="66" t="str">
        <f t="shared" ca="1" si="10"/>
        <v/>
      </c>
      <c r="AI21" s="66" t="str">
        <f t="shared" ca="1" si="11"/>
        <v/>
      </c>
      <c r="AJ21" s="66" t="str">
        <f t="shared" ca="1" si="4"/>
        <v/>
      </c>
      <c r="AK21" s="66" t="str">
        <f t="shared" ca="1" si="5"/>
        <v/>
      </c>
      <c r="AL21" s="66">
        <f t="shared" ca="1" si="6"/>
        <v>0</v>
      </c>
      <c r="AM21" s="66" t="str">
        <f t="shared" ca="1" si="7"/>
        <v/>
      </c>
      <c r="AN21" s="66" t="str">
        <f t="shared" ca="1" si="8"/>
        <v/>
      </c>
      <c r="AO21" s="66" t="str">
        <f t="shared" ca="1" si="9"/>
        <v/>
      </c>
      <c r="AP21" s="66" t="e">
        <f ca="1">CHOOSE(AH21,FALSE,Data!DV$2,Data!DV$2,Data!DV$2,FALSE,FALSE,Data!DV$2)</f>
        <v>#VALUE!</v>
      </c>
      <c r="AQ21" s="66" t="e">
        <f ca="1">CHOOSE(AH21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1" s="66" t="e">
        <f ca="1">IF(C21="Gestion","1151000",IF(AND(C21="Émissions_Fugitives",D21="Optimisation réfrigération"),"1151210",IF(AND(C21="Conversion",D21="Bioénergies"),"1151240",IF(AND(C21="Conversion",D21="Solaires"),"1151202",INDEX(OFFSET(Type_Entreprise,,2,,),MATCH(#REF!,Type_Entreprise,0))))))</f>
        <v>#REF!</v>
      </c>
    </row>
    <row r="22" spans="1:44" ht="15.75" customHeight="1" x14ac:dyDescent="0.2">
      <c r="A22" s="3"/>
      <c r="B22" s="4"/>
      <c r="C22" s="4" t="s">
        <v>245</v>
      </c>
      <c r="D22" s="4"/>
      <c r="E22" s="4" t="s">
        <v>245</v>
      </c>
      <c r="F22" s="4"/>
      <c r="G22" s="36" t="str">
        <f t="shared" ca="1" si="0"/>
        <v/>
      </c>
      <c r="H22" s="84"/>
      <c r="I22" s="38"/>
      <c r="J22" s="4"/>
      <c r="K22" s="57"/>
      <c r="L22" s="38"/>
      <c r="M22" s="55"/>
      <c r="N22" s="86"/>
      <c r="O22" s="37" t="str">
        <f t="shared" ca="1" si="1"/>
        <v/>
      </c>
      <c r="P22" s="40" t="str">
        <f t="shared" ca="1" si="2"/>
        <v/>
      </c>
      <c r="Q22" s="89">
        <v>0</v>
      </c>
      <c r="R22" s="89">
        <v>0</v>
      </c>
      <c r="S22" s="89">
        <v>0</v>
      </c>
      <c r="T22" s="90"/>
      <c r="U22" s="89"/>
      <c r="V22" s="3" t="s">
        <v>245</v>
      </c>
      <c r="W22" s="14"/>
      <c r="X22" s="14"/>
      <c r="Y22" s="93"/>
      <c r="Z22" s="93"/>
      <c r="AA22" s="3" t="s">
        <v>245</v>
      </c>
      <c r="AB22" s="3"/>
      <c r="AC22" s="3" t="s">
        <v>245</v>
      </c>
      <c r="AD22" s="4"/>
      <c r="AE22" s="3" t="s">
        <v>314</v>
      </c>
      <c r="AF22" s="4"/>
      <c r="AG22" s="98" t="b">
        <f t="shared" ca="1" si="3"/>
        <v>0</v>
      </c>
      <c r="AH22" s="66" t="str">
        <f t="shared" ca="1" si="10"/>
        <v/>
      </c>
      <c r="AI22" s="66" t="str">
        <f t="shared" ca="1" si="11"/>
        <v/>
      </c>
      <c r="AJ22" s="66" t="str">
        <f t="shared" ca="1" si="4"/>
        <v/>
      </c>
      <c r="AK22" s="66" t="str">
        <f t="shared" ca="1" si="5"/>
        <v/>
      </c>
      <c r="AL22" s="66">
        <f t="shared" ca="1" si="6"/>
        <v>0</v>
      </c>
      <c r="AM22" s="66" t="str">
        <f t="shared" ca="1" si="7"/>
        <v/>
      </c>
      <c r="AN22" s="66" t="str">
        <f t="shared" ca="1" si="8"/>
        <v/>
      </c>
      <c r="AO22" s="66" t="str">
        <f t="shared" ca="1" si="9"/>
        <v/>
      </c>
      <c r="AP22" s="66" t="e">
        <f ca="1">CHOOSE(AH22,FALSE,Data!DV$2,Data!DV$2,Data!DV$2,FALSE,FALSE,Data!DV$2)</f>
        <v>#VALUE!</v>
      </c>
      <c r="AQ22" s="66" t="e">
        <f ca="1">CHOOSE(AH22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2" s="66" t="e">
        <f ca="1">IF(C22="Gestion","1151000",IF(AND(C22="Émissions_Fugitives",D22="Optimisation réfrigération"),"1151210",IF(AND(C22="Conversion",D22="Bioénergies"),"1151240",IF(AND(C22="Conversion",D22="Solaires"),"1151202",INDEX(OFFSET(Type_Entreprise,,2,,),MATCH(#REF!,Type_Entreprise,0))))))</f>
        <v>#REF!</v>
      </c>
    </row>
    <row r="23" spans="1:44" ht="15.75" customHeight="1" x14ac:dyDescent="0.2">
      <c r="A23" s="3"/>
      <c r="B23" s="4"/>
      <c r="C23" s="4" t="s">
        <v>245</v>
      </c>
      <c r="D23" s="4"/>
      <c r="E23" s="4" t="s">
        <v>245</v>
      </c>
      <c r="F23" s="4"/>
      <c r="G23" s="36" t="str">
        <f t="shared" ca="1" si="0"/>
        <v/>
      </c>
      <c r="H23" s="84"/>
      <c r="I23" s="38"/>
      <c r="J23" s="4"/>
      <c r="K23" s="57"/>
      <c r="L23" s="38"/>
      <c r="M23" s="55"/>
      <c r="N23" s="86"/>
      <c r="O23" s="37" t="str">
        <f t="shared" ca="1" si="1"/>
        <v/>
      </c>
      <c r="P23" s="40" t="str">
        <f t="shared" ca="1" si="2"/>
        <v/>
      </c>
      <c r="Q23" s="89">
        <v>0</v>
      </c>
      <c r="R23" s="89">
        <v>0</v>
      </c>
      <c r="S23" s="89">
        <v>0</v>
      </c>
      <c r="T23" s="90"/>
      <c r="U23" s="89"/>
      <c r="V23" s="3" t="s">
        <v>245</v>
      </c>
      <c r="W23" s="14"/>
      <c r="X23" s="14"/>
      <c r="Y23" s="93"/>
      <c r="Z23" s="93"/>
      <c r="AA23" s="3" t="s">
        <v>245</v>
      </c>
      <c r="AB23" s="3"/>
      <c r="AC23" s="3" t="s">
        <v>245</v>
      </c>
      <c r="AD23" s="4"/>
      <c r="AE23" s="3" t="s">
        <v>314</v>
      </c>
      <c r="AF23" s="4"/>
      <c r="AG23" s="98" t="b">
        <f t="shared" ca="1" si="3"/>
        <v>0</v>
      </c>
      <c r="AH23" s="66" t="str">
        <f t="shared" ca="1" si="10"/>
        <v/>
      </c>
      <c r="AI23" s="66" t="str">
        <f t="shared" ca="1" si="11"/>
        <v/>
      </c>
      <c r="AJ23" s="66" t="str">
        <f t="shared" ca="1" si="4"/>
        <v/>
      </c>
      <c r="AK23" s="66" t="str">
        <f t="shared" ca="1" si="5"/>
        <v/>
      </c>
      <c r="AL23" s="66">
        <f t="shared" ca="1" si="6"/>
        <v>0</v>
      </c>
      <c r="AM23" s="66" t="str">
        <f t="shared" ca="1" si="7"/>
        <v/>
      </c>
      <c r="AN23" s="66" t="str">
        <f t="shared" ca="1" si="8"/>
        <v/>
      </c>
      <c r="AO23" s="66" t="str">
        <f t="shared" ca="1" si="9"/>
        <v/>
      </c>
      <c r="AP23" s="66" t="e">
        <f ca="1">CHOOSE(AH23,FALSE,Data!DV$2,Data!DV$2,Data!DV$2,FALSE,FALSE,Data!DV$2)</f>
        <v>#VALUE!</v>
      </c>
      <c r="AQ23" s="66" t="e">
        <f ca="1">CHOOSE(AH23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3" s="66" t="e">
        <f ca="1">IF(C23="Gestion","1151000",IF(AND(C23="Émissions_Fugitives",D23="Optimisation réfrigération"),"1151210",IF(AND(C23="Conversion",D23="Bioénergies"),"1151240",IF(AND(C23="Conversion",D23="Solaires"),"1151202",INDEX(OFFSET(Type_Entreprise,,2,,),MATCH(#REF!,Type_Entreprise,0))))))</f>
        <v>#REF!</v>
      </c>
    </row>
    <row r="24" spans="1:44" ht="15.75" customHeight="1" x14ac:dyDescent="0.2">
      <c r="A24" s="3"/>
      <c r="B24" s="4"/>
      <c r="C24" s="4" t="s">
        <v>245</v>
      </c>
      <c r="D24" s="4"/>
      <c r="E24" s="4" t="s">
        <v>245</v>
      </c>
      <c r="F24" s="4"/>
      <c r="G24" s="36" t="str">
        <f t="shared" ca="1" si="0"/>
        <v/>
      </c>
      <c r="H24" s="84"/>
      <c r="I24" s="38"/>
      <c r="J24" s="4"/>
      <c r="K24" s="57"/>
      <c r="L24" s="38"/>
      <c r="M24" s="55"/>
      <c r="N24" s="86"/>
      <c r="O24" s="37" t="str">
        <f t="shared" ca="1" si="1"/>
        <v/>
      </c>
      <c r="P24" s="40" t="str">
        <f t="shared" ca="1" si="2"/>
        <v/>
      </c>
      <c r="Q24" s="89">
        <v>0</v>
      </c>
      <c r="R24" s="89">
        <v>0</v>
      </c>
      <c r="S24" s="89">
        <v>0</v>
      </c>
      <c r="T24" s="90"/>
      <c r="U24" s="89"/>
      <c r="V24" s="3" t="s">
        <v>245</v>
      </c>
      <c r="W24" s="14"/>
      <c r="X24" s="14"/>
      <c r="Y24" s="93"/>
      <c r="Z24" s="93"/>
      <c r="AA24" s="3" t="s">
        <v>245</v>
      </c>
      <c r="AB24" s="3"/>
      <c r="AC24" s="3" t="s">
        <v>245</v>
      </c>
      <c r="AD24" s="4"/>
      <c r="AE24" s="3" t="s">
        <v>314</v>
      </c>
      <c r="AF24" s="4"/>
      <c r="AG24" s="98" t="b">
        <f t="shared" ca="1" si="3"/>
        <v>0</v>
      </c>
      <c r="AH24" s="66" t="str">
        <f t="shared" ca="1" si="10"/>
        <v/>
      </c>
      <c r="AI24" s="66" t="str">
        <f t="shared" ca="1" si="11"/>
        <v/>
      </c>
      <c r="AJ24" s="66" t="str">
        <f t="shared" ca="1" si="4"/>
        <v/>
      </c>
      <c r="AK24" s="66" t="str">
        <f t="shared" ca="1" si="5"/>
        <v/>
      </c>
      <c r="AL24" s="66">
        <f t="shared" ca="1" si="6"/>
        <v>0</v>
      </c>
      <c r="AM24" s="66" t="str">
        <f t="shared" ca="1" si="7"/>
        <v/>
      </c>
      <c r="AN24" s="66" t="str">
        <f t="shared" ca="1" si="8"/>
        <v/>
      </c>
      <c r="AO24" s="66" t="str">
        <f t="shared" ca="1" si="9"/>
        <v/>
      </c>
      <c r="AP24" s="66" t="e">
        <f ca="1">CHOOSE(AH24,FALSE,Data!DV$2,Data!DV$2,Data!DV$2,FALSE,FALSE,Data!DV$2)</f>
        <v>#VALUE!</v>
      </c>
      <c r="AQ24" s="66" t="e">
        <f ca="1">CHOOSE(AH24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4" s="66" t="e">
        <f ca="1">IF(C24="Gestion","1151000",IF(AND(C24="Émissions_Fugitives",D24="Optimisation réfrigération"),"1151210",IF(AND(C24="Conversion",D24="Bioénergies"),"1151240",IF(AND(C24="Conversion",D24="Solaires"),"1151202",INDEX(OFFSET(Type_Entreprise,,2,,),MATCH(#REF!,Type_Entreprise,0))))))</f>
        <v>#REF!</v>
      </c>
    </row>
    <row r="25" spans="1:44" ht="15.75" customHeight="1" x14ac:dyDescent="0.2">
      <c r="A25" s="3"/>
      <c r="B25" s="4"/>
      <c r="C25" s="4" t="s">
        <v>245</v>
      </c>
      <c r="D25" s="4"/>
      <c r="E25" s="4" t="s">
        <v>245</v>
      </c>
      <c r="F25" s="4"/>
      <c r="G25" s="36" t="str">
        <f t="shared" ca="1" si="0"/>
        <v/>
      </c>
      <c r="H25" s="84"/>
      <c r="I25" s="38"/>
      <c r="J25" s="4"/>
      <c r="K25" s="57"/>
      <c r="L25" s="38"/>
      <c r="M25" s="55"/>
      <c r="N25" s="86"/>
      <c r="O25" s="37" t="str">
        <f t="shared" ca="1" si="1"/>
        <v/>
      </c>
      <c r="P25" s="40" t="str">
        <f t="shared" ca="1" si="2"/>
        <v/>
      </c>
      <c r="Q25" s="89">
        <v>0</v>
      </c>
      <c r="R25" s="89">
        <v>0</v>
      </c>
      <c r="S25" s="89">
        <v>0</v>
      </c>
      <c r="T25" s="90"/>
      <c r="U25" s="89"/>
      <c r="V25" s="3" t="s">
        <v>245</v>
      </c>
      <c r="W25" s="14"/>
      <c r="X25" s="14"/>
      <c r="Y25" s="93"/>
      <c r="Z25" s="93"/>
      <c r="AA25" s="3" t="s">
        <v>245</v>
      </c>
      <c r="AB25" s="3"/>
      <c r="AC25" s="3" t="s">
        <v>245</v>
      </c>
      <c r="AD25" s="4"/>
      <c r="AE25" s="3" t="s">
        <v>314</v>
      </c>
      <c r="AF25" s="4"/>
      <c r="AG25" s="98" t="b">
        <f t="shared" ca="1" si="3"/>
        <v>0</v>
      </c>
      <c r="AH25" s="66" t="str">
        <f t="shared" ca="1" si="10"/>
        <v/>
      </c>
      <c r="AI25" s="66" t="str">
        <f t="shared" ca="1" si="11"/>
        <v/>
      </c>
      <c r="AJ25" s="66" t="str">
        <f t="shared" ca="1" si="4"/>
        <v/>
      </c>
      <c r="AK25" s="66" t="str">
        <f t="shared" ca="1" si="5"/>
        <v/>
      </c>
      <c r="AL25" s="66">
        <f t="shared" ca="1" si="6"/>
        <v>0</v>
      </c>
      <c r="AM25" s="66" t="str">
        <f t="shared" ca="1" si="7"/>
        <v/>
      </c>
      <c r="AN25" s="66" t="str">
        <f t="shared" ca="1" si="8"/>
        <v/>
      </c>
      <c r="AO25" s="66" t="str">
        <f t="shared" ca="1" si="9"/>
        <v/>
      </c>
      <c r="AP25" s="66" t="e">
        <f ca="1">CHOOSE(AH25,FALSE,Data!DV$2,Data!DV$2,Data!DV$2,FALSE,FALSE,Data!DV$2)</f>
        <v>#VALUE!</v>
      </c>
      <c r="AQ25" s="66" t="e">
        <f ca="1">CHOOSE(AH25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5" s="66" t="e">
        <f ca="1">IF(C25="Gestion","1151000",IF(AND(C25="Émissions_Fugitives",D25="Optimisation réfrigération"),"1151210",IF(AND(C25="Conversion",D25="Bioénergies"),"1151240",IF(AND(C25="Conversion",D25="Solaires"),"1151202",INDEX(OFFSET(Type_Entreprise,,2,,),MATCH(#REF!,Type_Entreprise,0))))))</f>
        <v>#REF!</v>
      </c>
    </row>
    <row r="26" spans="1:44" ht="15.75" customHeight="1" x14ac:dyDescent="0.2">
      <c r="A26" s="3"/>
      <c r="B26" s="4"/>
      <c r="C26" s="4" t="s">
        <v>245</v>
      </c>
      <c r="D26" s="4"/>
      <c r="E26" s="4" t="s">
        <v>245</v>
      </c>
      <c r="F26" s="4"/>
      <c r="G26" s="36" t="str">
        <f t="shared" ca="1" si="0"/>
        <v/>
      </c>
      <c r="H26" s="84"/>
      <c r="I26" s="38"/>
      <c r="J26" s="4"/>
      <c r="K26" s="57"/>
      <c r="L26" s="38"/>
      <c r="M26" s="55"/>
      <c r="N26" s="86"/>
      <c r="O26" s="37" t="str">
        <f t="shared" ca="1" si="1"/>
        <v/>
      </c>
      <c r="P26" s="40" t="str">
        <f t="shared" ca="1" si="2"/>
        <v/>
      </c>
      <c r="Q26" s="89">
        <v>0</v>
      </c>
      <c r="R26" s="89">
        <v>0</v>
      </c>
      <c r="S26" s="89">
        <v>0</v>
      </c>
      <c r="T26" s="90"/>
      <c r="U26" s="89"/>
      <c r="V26" s="3" t="s">
        <v>245</v>
      </c>
      <c r="W26" s="14"/>
      <c r="X26" s="14"/>
      <c r="Y26" s="93"/>
      <c r="Z26" s="93"/>
      <c r="AA26" s="3" t="s">
        <v>245</v>
      </c>
      <c r="AB26" s="3"/>
      <c r="AC26" s="3" t="s">
        <v>245</v>
      </c>
      <c r="AD26" s="4"/>
      <c r="AE26" s="3" t="s">
        <v>314</v>
      </c>
      <c r="AF26" s="4"/>
      <c r="AG26" s="98" t="b">
        <f t="shared" ca="1" si="3"/>
        <v>0</v>
      </c>
      <c r="AH26" s="66" t="str">
        <f t="shared" ca="1" si="10"/>
        <v/>
      </c>
      <c r="AI26" s="66" t="str">
        <f t="shared" ca="1" si="11"/>
        <v/>
      </c>
      <c r="AJ26" s="66" t="str">
        <f t="shared" ca="1" si="4"/>
        <v/>
      </c>
      <c r="AK26" s="66" t="str">
        <f t="shared" ca="1" si="5"/>
        <v/>
      </c>
      <c r="AL26" s="66">
        <f t="shared" ca="1" si="6"/>
        <v>0</v>
      </c>
      <c r="AM26" s="66" t="str">
        <f t="shared" ca="1" si="7"/>
        <v/>
      </c>
      <c r="AN26" s="66" t="str">
        <f t="shared" ca="1" si="8"/>
        <v/>
      </c>
      <c r="AO26" s="66" t="str">
        <f t="shared" ca="1" si="9"/>
        <v/>
      </c>
      <c r="AP26" s="66" t="e">
        <f ca="1">CHOOSE(AH26,FALSE,Data!DV$2,Data!DV$2,Data!DV$2,FALSE,FALSE,Data!DV$2)</f>
        <v>#VALUE!</v>
      </c>
      <c r="AQ26" s="66" t="e">
        <f ca="1">CHOOSE(AH26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6" s="66" t="e">
        <f ca="1">IF(C26="Gestion","1151000",IF(AND(C26="Émissions_Fugitives",D26="Optimisation réfrigération"),"1151210",IF(AND(C26="Conversion",D26="Bioénergies"),"1151240",IF(AND(C26="Conversion",D26="Solaires"),"1151202",INDEX(OFFSET(Type_Entreprise,,2,,),MATCH(#REF!,Type_Entreprise,0))))))</f>
        <v>#REF!</v>
      </c>
    </row>
    <row r="27" spans="1:44" ht="15.75" customHeight="1" x14ac:dyDescent="0.2">
      <c r="A27" s="3"/>
      <c r="B27" s="4"/>
      <c r="C27" s="4" t="s">
        <v>245</v>
      </c>
      <c r="D27" s="4"/>
      <c r="E27" s="4" t="s">
        <v>245</v>
      </c>
      <c r="F27" s="4"/>
      <c r="G27" s="36" t="str">
        <f t="shared" ca="1" si="0"/>
        <v/>
      </c>
      <c r="H27" s="84"/>
      <c r="I27" s="38"/>
      <c r="J27" s="4"/>
      <c r="K27" s="57"/>
      <c r="L27" s="38"/>
      <c r="M27" s="55"/>
      <c r="N27" s="86"/>
      <c r="O27" s="37" t="str">
        <f t="shared" ca="1" si="1"/>
        <v/>
      </c>
      <c r="P27" s="40" t="str">
        <f t="shared" ca="1" si="2"/>
        <v/>
      </c>
      <c r="Q27" s="89">
        <v>0</v>
      </c>
      <c r="R27" s="89">
        <v>0</v>
      </c>
      <c r="S27" s="89">
        <v>0</v>
      </c>
      <c r="T27" s="90"/>
      <c r="U27" s="89"/>
      <c r="V27" s="3" t="s">
        <v>245</v>
      </c>
      <c r="W27" s="14"/>
      <c r="X27" s="14"/>
      <c r="Y27" s="93"/>
      <c r="Z27" s="93"/>
      <c r="AA27" s="3" t="s">
        <v>245</v>
      </c>
      <c r="AB27" s="3"/>
      <c r="AC27" s="3" t="s">
        <v>245</v>
      </c>
      <c r="AD27" s="4"/>
      <c r="AE27" s="3" t="s">
        <v>314</v>
      </c>
      <c r="AF27" s="4"/>
      <c r="AG27" s="98" t="b">
        <f t="shared" ca="1" si="3"/>
        <v>0</v>
      </c>
      <c r="AH27" s="66" t="str">
        <f t="shared" ca="1" si="10"/>
        <v/>
      </c>
      <c r="AI27" s="66" t="str">
        <f t="shared" ca="1" si="11"/>
        <v/>
      </c>
      <c r="AJ27" s="66" t="str">
        <f t="shared" ca="1" si="4"/>
        <v/>
      </c>
      <c r="AK27" s="66" t="str">
        <f t="shared" ca="1" si="5"/>
        <v/>
      </c>
      <c r="AL27" s="66">
        <f t="shared" ca="1" si="6"/>
        <v>0</v>
      </c>
      <c r="AM27" s="66" t="str">
        <f t="shared" ca="1" si="7"/>
        <v/>
      </c>
      <c r="AN27" s="66" t="str">
        <f t="shared" ca="1" si="8"/>
        <v/>
      </c>
      <c r="AO27" s="66" t="str">
        <f t="shared" ca="1" si="9"/>
        <v/>
      </c>
      <c r="AP27" s="66" t="e">
        <f ca="1">CHOOSE(AH27,FALSE,Data!DV$2,Data!DV$2,Data!DV$2,FALSE,FALSE,Data!DV$2)</f>
        <v>#VALUE!</v>
      </c>
      <c r="AQ27" s="66" t="e">
        <f ca="1">CHOOSE(AH27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7" s="66" t="e">
        <f ca="1">IF(C27="Gestion","1151000",IF(AND(C27="Émissions_Fugitives",D27="Optimisation réfrigération"),"1151210",IF(AND(C27="Conversion",D27="Bioénergies"),"1151240",IF(AND(C27="Conversion",D27="Solaires"),"1151202",INDEX(OFFSET(Type_Entreprise,,2,,),MATCH(#REF!,Type_Entreprise,0))))))</f>
        <v>#REF!</v>
      </c>
    </row>
    <row r="28" spans="1:44" ht="15.75" customHeight="1" x14ac:dyDescent="0.2">
      <c r="A28" s="3"/>
      <c r="B28" s="4"/>
      <c r="C28" s="4" t="s">
        <v>245</v>
      </c>
      <c r="D28" s="4"/>
      <c r="E28" s="4" t="s">
        <v>245</v>
      </c>
      <c r="F28" s="4"/>
      <c r="G28" s="36" t="str">
        <f t="shared" ca="1" si="0"/>
        <v/>
      </c>
      <c r="H28" s="84"/>
      <c r="I28" s="38"/>
      <c r="J28" s="4"/>
      <c r="K28" s="57"/>
      <c r="L28" s="38"/>
      <c r="M28" s="55"/>
      <c r="N28" s="86"/>
      <c r="O28" s="37" t="str">
        <f t="shared" ca="1" si="1"/>
        <v/>
      </c>
      <c r="P28" s="40" t="str">
        <f t="shared" ca="1" si="2"/>
        <v/>
      </c>
      <c r="Q28" s="89">
        <v>0</v>
      </c>
      <c r="R28" s="89">
        <v>0</v>
      </c>
      <c r="S28" s="89">
        <v>0</v>
      </c>
      <c r="T28" s="90"/>
      <c r="U28" s="89"/>
      <c r="V28" s="3" t="s">
        <v>245</v>
      </c>
      <c r="W28" s="14"/>
      <c r="X28" s="14"/>
      <c r="Y28" s="93"/>
      <c r="Z28" s="93"/>
      <c r="AA28" s="3" t="s">
        <v>245</v>
      </c>
      <c r="AB28" s="3"/>
      <c r="AC28" s="3" t="s">
        <v>245</v>
      </c>
      <c r="AD28" s="4"/>
      <c r="AE28" s="3" t="s">
        <v>314</v>
      </c>
      <c r="AF28" s="4"/>
      <c r="AG28" s="98" t="b">
        <f t="shared" ca="1" si="3"/>
        <v>0</v>
      </c>
      <c r="AH28" s="66" t="str">
        <f t="shared" ca="1" si="10"/>
        <v/>
      </c>
      <c r="AI28" s="66" t="str">
        <f t="shared" ca="1" si="11"/>
        <v/>
      </c>
      <c r="AJ28" s="66" t="str">
        <f t="shared" ca="1" si="4"/>
        <v/>
      </c>
      <c r="AK28" s="66" t="str">
        <f t="shared" ca="1" si="5"/>
        <v/>
      </c>
      <c r="AL28" s="66">
        <f t="shared" ca="1" si="6"/>
        <v>0</v>
      </c>
      <c r="AM28" s="66" t="str">
        <f t="shared" ca="1" si="7"/>
        <v/>
      </c>
      <c r="AN28" s="66" t="str">
        <f t="shared" ca="1" si="8"/>
        <v/>
      </c>
      <c r="AO28" s="66" t="str">
        <f t="shared" ca="1" si="9"/>
        <v/>
      </c>
      <c r="AP28" s="66" t="e">
        <f ca="1">CHOOSE(AH28,FALSE,Data!DV$2,Data!DV$2,Data!DV$2,FALSE,FALSE,Data!DV$2)</f>
        <v>#VALUE!</v>
      </c>
      <c r="AQ28" s="66" t="e">
        <f ca="1">CHOOSE(AH28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8" s="66" t="e">
        <f ca="1">IF(C28="Gestion","1151000",IF(AND(C28="Émissions_Fugitives",D28="Optimisation réfrigération"),"1151210",IF(AND(C28="Conversion",D28="Bioénergies"),"1151240",IF(AND(C28="Conversion",D28="Solaires"),"1151202",INDEX(OFFSET(Type_Entreprise,,2,,),MATCH(#REF!,Type_Entreprise,0))))))</f>
        <v>#REF!</v>
      </c>
    </row>
    <row r="29" spans="1:44" ht="15.75" customHeight="1" x14ac:dyDescent="0.2">
      <c r="A29" s="3"/>
      <c r="B29" s="4"/>
      <c r="C29" s="4" t="s">
        <v>245</v>
      </c>
      <c r="D29" s="4"/>
      <c r="E29" s="4" t="s">
        <v>245</v>
      </c>
      <c r="F29" s="4"/>
      <c r="G29" s="36" t="str">
        <f t="shared" ca="1" si="0"/>
        <v/>
      </c>
      <c r="H29" s="84"/>
      <c r="I29" s="38"/>
      <c r="J29" s="4"/>
      <c r="K29" s="57"/>
      <c r="L29" s="38"/>
      <c r="M29" s="55"/>
      <c r="N29" s="86"/>
      <c r="O29" s="37" t="str">
        <f t="shared" ca="1" si="1"/>
        <v/>
      </c>
      <c r="P29" s="40" t="str">
        <f t="shared" ca="1" si="2"/>
        <v/>
      </c>
      <c r="Q29" s="89">
        <v>0</v>
      </c>
      <c r="R29" s="89">
        <v>0</v>
      </c>
      <c r="S29" s="89">
        <v>0</v>
      </c>
      <c r="T29" s="90"/>
      <c r="U29" s="89"/>
      <c r="V29" s="3" t="s">
        <v>245</v>
      </c>
      <c r="W29" s="14"/>
      <c r="X29" s="14"/>
      <c r="Y29" s="93"/>
      <c r="Z29" s="93"/>
      <c r="AA29" s="3" t="s">
        <v>245</v>
      </c>
      <c r="AB29" s="3"/>
      <c r="AC29" s="3" t="s">
        <v>245</v>
      </c>
      <c r="AD29" s="4"/>
      <c r="AE29" s="3" t="s">
        <v>314</v>
      </c>
      <c r="AF29" s="4"/>
      <c r="AG29" s="98" t="b">
        <f t="shared" ca="1" si="3"/>
        <v>0</v>
      </c>
      <c r="AH29" s="66" t="str">
        <f t="shared" ca="1" si="10"/>
        <v/>
      </c>
      <c r="AI29" s="66" t="str">
        <f t="shared" ca="1" si="11"/>
        <v/>
      </c>
      <c r="AJ29" s="66" t="str">
        <f t="shared" ca="1" si="4"/>
        <v/>
      </c>
      <c r="AK29" s="66" t="str">
        <f t="shared" ca="1" si="5"/>
        <v/>
      </c>
      <c r="AL29" s="66">
        <f t="shared" ca="1" si="6"/>
        <v>0</v>
      </c>
      <c r="AM29" s="66" t="str">
        <f t="shared" ca="1" si="7"/>
        <v/>
      </c>
      <c r="AN29" s="66" t="str">
        <f t="shared" ca="1" si="8"/>
        <v/>
      </c>
      <c r="AO29" s="66" t="str">
        <f t="shared" ca="1" si="9"/>
        <v/>
      </c>
      <c r="AP29" s="66" t="e">
        <f ca="1">CHOOSE(AH29,FALSE,Data!DV$2,Data!DV$2,Data!DV$2,FALSE,FALSE,Data!DV$2)</f>
        <v>#VALUE!</v>
      </c>
      <c r="AQ29" s="66" t="e">
        <f ca="1">CHOOSE(AH29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29" s="66" t="e">
        <f ca="1">IF(C29="Gestion","1151000",IF(AND(C29="Émissions_Fugitives",D29="Optimisation réfrigération"),"1151210",IF(AND(C29="Conversion",D29="Bioénergies"),"1151240",IF(AND(C29="Conversion",D29="Solaires"),"1151202",INDEX(OFFSET(Type_Entreprise,,2,,),MATCH(#REF!,Type_Entreprise,0))))))</f>
        <v>#REF!</v>
      </c>
    </row>
    <row r="30" spans="1:44" ht="15.75" customHeight="1" x14ac:dyDescent="0.2">
      <c r="A30" s="3"/>
      <c r="B30" s="4"/>
      <c r="C30" s="4" t="s">
        <v>245</v>
      </c>
      <c r="D30" s="4"/>
      <c r="E30" s="4" t="s">
        <v>245</v>
      </c>
      <c r="F30" s="4"/>
      <c r="G30" s="36" t="str">
        <f t="shared" ca="1" si="0"/>
        <v/>
      </c>
      <c r="H30" s="84"/>
      <c r="I30" s="38"/>
      <c r="J30" s="4"/>
      <c r="K30" s="57"/>
      <c r="L30" s="38"/>
      <c r="M30" s="55"/>
      <c r="N30" s="86"/>
      <c r="O30" s="37" t="str">
        <f t="shared" ca="1" si="1"/>
        <v/>
      </c>
      <c r="P30" s="40" t="str">
        <f t="shared" ca="1" si="2"/>
        <v/>
      </c>
      <c r="Q30" s="89">
        <v>0</v>
      </c>
      <c r="R30" s="89">
        <v>0</v>
      </c>
      <c r="S30" s="89">
        <v>0</v>
      </c>
      <c r="T30" s="90"/>
      <c r="U30" s="89"/>
      <c r="V30" s="3" t="s">
        <v>245</v>
      </c>
      <c r="W30" s="14"/>
      <c r="X30" s="14"/>
      <c r="Y30" s="93"/>
      <c r="Z30" s="93"/>
      <c r="AA30" s="3" t="s">
        <v>245</v>
      </c>
      <c r="AB30" s="3"/>
      <c r="AC30" s="3" t="s">
        <v>245</v>
      </c>
      <c r="AD30" s="4"/>
      <c r="AE30" s="3" t="s">
        <v>314</v>
      </c>
      <c r="AF30" s="4"/>
      <c r="AG30" s="98" t="b">
        <f t="shared" ca="1" si="3"/>
        <v>0</v>
      </c>
      <c r="AH30" s="66" t="str">
        <f t="shared" ca="1" si="10"/>
        <v/>
      </c>
      <c r="AI30" s="66" t="str">
        <f t="shared" ca="1" si="11"/>
        <v/>
      </c>
      <c r="AJ30" s="66" t="str">
        <f t="shared" ca="1" si="4"/>
        <v/>
      </c>
      <c r="AK30" s="66" t="str">
        <f t="shared" ca="1" si="5"/>
        <v/>
      </c>
      <c r="AL30" s="66">
        <f t="shared" ca="1" si="6"/>
        <v>0</v>
      </c>
      <c r="AM30" s="66" t="str">
        <f t="shared" ca="1" si="7"/>
        <v/>
      </c>
      <c r="AN30" s="66" t="str">
        <f t="shared" ca="1" si="8"/>
        <v/>
      </c>
      <c r="AO30" s="66" t="str">
        <f t="shared" ca="1" si="9"/>
        <v/>
      </c>
      <c r="AP30" s="66" t="e">
        <f ca="1">CHOOSE(AH30,FALSE,Data!DV$2,Data!DV$2,Data!DV$2,FALSE,FALSE,Data!DV$2)</f>
        <v>#VALUE!</v>
      </c>
      <c r="AQ30" s="66" t="e">
        <f ca="1">CHOOSE(AH30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0" s="66" t="e">
        <f ca="1">IF(C30="Gestion","1151000",IF(AND(C30="Émissions_Fugitives",D30="Optimisation réfrigération"),"1151210",IF(AND(C30="Conversion",D30="Bioénergies"),"1151240",IF(AND(C30="Conversion",D30="Solaires"),"1151202",INDEX(OFFSET(Type_Entreprise,,2,,),MATCH(#REF!,Type_Entreprise,0))))))</f>
        <v>#REF!</v>
      </c>
    </row>
    <row r="31" spans="1:44" ht="15.75" customHeight="1" x14ac:dyDescent="0.2">
      <c r="A31" s="3"/>
      <c r="B31" s="4"/>
      <c r="C31" s="4" t="s">
        <v>245</v>
      </c>
      <c r="D31" s="4"/>
      <c r="E31" s="4" t="s">
        <v>245</v>
      </c>
      <c r="F31" s="4"/>
      <c r="G31" s="36" t="str">
        <f t="shared" ca="1" si="0"/>
        <v/>
      </c>
      <c r="H31" s="84"/>
      <c r="I31" s="38"/>
      <c r="J31" s="4"/>
      <c r="K31" s="57"/>
      <c r="L31" s="38"/>
      <c r="M31" s="55"/>
      <c r="N31" s="86"/>
      <c r="O31" s="37" t="str">
        <f t="shared" ca="1" si="1"/>
        <v/>
      </c>
      <c r="P31" s="40" t="str">
        <f t="shared" ca="1" si="2"/>
        <v/>
      </c>
      <c r="Q31" s="89">
        <v>0</v>
      </c>
      <c r="R31" s="89">
        <v>0</v>
      </c>
      <c r="S31" s="89">
        <v>0</v>
      </c>
      <c r="T31" s="90"/>
      <c r="U31" s="89"/>
      <c r="V31" s="3" t="s">
        <v>245</v>
      </c>
      <c r="W31" s="14"/>
      <c r="X31" s="14"/>
      <c r="Y31" s="93"/>
      <c r="Z31" s="93"/>
      <c r="AA31" s="3" t="s">
        <v>245</v>
      </c>
      <c r="AB31" s="3"/>
      <c r="AC31" s="3" t="s">
        <v>245</v>
      </c>
      <c r="AD31" s="4"/>
      <c r="AE31" s="3" t="s">
        <v>314</v>
      </c>
      <c r="AF31" s="4"/>
      <c r="AG31" s="98" t="b">
        <f t="shared" ca="1" si="3"/>
        <v>0</v>
      </c>
      <c r="AH31" s="66" t="str">
        <f t="shared" ca="1" si="10"/>
        <v/>
      </c>
      <c r="AI31" s="66" t="str">
        <f t="shared" ca="1" si="11"/>
        <v/>
      </c>
      <c r="AJ31" s="66" t="str">
        <f t="shared" ca="1" si="4"/>
        <v/>
      </c>
      <c r="AK31" s="66" t="str">
        <f t="shared" ca="1" si="5"/>
        <v/>
      </c>
      <c r="AL31" s="66">
        <f t="shared" ca="1" si="6"/>
        <v>0</v>
      </c>
      <c r="AM31" s="66" t="str">
        <f t="shared" ca="1" si="7"/>
        <v/>
      </c>
      <c r="AN31" s="66" t="str">
        <f t="shared" ca="1" si="8"/>
        <v/>
      </c>
      <c r="AO31" s="66" t="str">
        <f t="shared" ca="1" si="9"/>
        <v/>
      </c>
      <c r="AP31" s="66" t="e">
        <f ca="1">CHOOSE(AH31,FALSE,Data!DV$2,Data!DV$2,Data!DV$2,FALSE,FALSE,Data!DV$2)</f>
        <v>#VALUE!</v>
      </c>
      <c r="AQ31" s="66" t="e">
        <f ca="1">CHOOSE(AH31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1" s="66" t="e">
        <f ca="1">IF(C31="Gestion","1151000",IF(AND(C31="Émissions_Fugitives",D31="Optimisation réfrigération"),"1151210",IF(AND(C31="Conversion",D31="Bioénergies"),"1151240",IF(AND(C31="Conversion",D31="Solaires"),"1151202",INDEX(OFFSET(Type_Entreprise,,2,,),MATCH(#REF!,Type_Entreprise,0))))))</f>
        <v>#REF!</v>
      </c>
    </row>
    <row r="32" spans="1:44" ht="15.75" customHeight="1" x14ac:dyDescent="0.2">
      <c r="A32" s="3"/>
      <c r="B32" s="4"/>
      <c r="C32" s="4" t="s">
        <v>245</v>
      </c>
      <c r="D32" s="4"/>
      <c r="E32" s="4" t="s">
        <v>245</v>
      </c>
      <c r="F32" s="4"/>
      <c r="G32" s="36" t="str">
        <f t="shared" ca="1" si="0"/>
        <v/>
      </c>
      <c r="H32" s="84"/>
      <c r="I32" s="38"/>
      <c r="J32" s="4"/>
      <c r="K32" s="57"/>
      <c r="L32" s="38"/>
      <c r="M32" s="55"/>
      <c r="N32" s="86"/>
      <c r="O32" s="37" t="str">
        <f t="shared" ca="1" si="1"/>
        <v/>
      </c>
      <c r="P32" s="40" t="str">
        <f t="shared" ca="1" si="2"/>
        <v/>
      </c>
      <c r="Q32" s="89">
        <v>0</v>
      </c>
      <c r="R32" s="89">
        <v>0</v>
      </c>
      <c r="S32" s="89">
        <v>0</v>
      </c>
      <c r="T32" s="90"/>
      <c r="U32" s="89"/>
      <c r="V32" s="3" t="s">
        <v>245</v>
      </c>
      <c r="W32" s="14"/>
      <c r="X32" s="14"/>
      <c r="Y32" s="93"/>
      <c r="Z32" s="93"/>
      <c r="AA32" s="3" t="s">
        <v>245</v>
      </c>
      <c r="AB32" s="3"/>
      <c r="AC32" s="3" t="s">
        <v>245</v>
      </c>
      <c r="AD32" s="4"/>
      <c r="AE32" s="3" t="s">
        <v>314</v>
      </c>
      <c r="AF32" s="4"/>
      <c r="AG32" s="98" t="b">
        <f t="shared" ca="1" si="3"/>
        <v>0</v>
      </c>
      <c r="AH32" s="66" t="str">
        <f t="shared" ca="1" si="10"/>
        <v/>
      </c>
      <c r="AI32" s="66" t="str">
        <f t="shared" ca="1" si="11"/>
        <v/>
      </c>
      <c r="AJ32" s="66" t="str">
        <f t="shared" ca="1" si="4"/>
        <v/>
      </c>
      <c r="AK32" s="66" t="str">
        <f t="shared" ca="1" si="5"/>
        <v/>
      </c>
      <c r="AL32" s="66">
        <f t="shared" ca="1" si="6"/>
        <v>0</v>
      </c>
      <c r="AM32" s="66" t="str">
        <f t="shared" ca="1" si="7"/>
        <v/>
      </c>
      <c r="AN32" s="66" t="str">
        <f t="shared" ca="1" si="8"/>
        <v/>
      </c>
      <c r="AO32" s="66" t="str">
        <f t="shared" ca="1" si="9"/>
        <v/>
      </c>
      <c r="AP32" s="66" t="e">
        <f ca="1">CHOOSE(AH32,FALSE,Data!DV$2,Data!DV$2,Data!DV$2,FALSE,FALSE,Data!DV$2)</f>
        <v>#VALUE!</v>
      </c>
      <c r="AQ32" s="66" t="e">
        <f ca="1">CHOOSE(AH32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2" s="66" t="e">
        <f ca="1">IF(C32="Gestion","1151000",IF(AND(C32="Émissions_Fugitives",D32="Optimisation réfrigération"),"1151210",IF(AND(C32="Conversion",D32="Bioénergies"),"1151240",IF(AND(C32="Conversion",D32="Solaires"),"1151202",INDEX(OFFSET(Type_Entreprise,,2,,),MATCH(#REF!,Type_Entreprise,0))))))</f>
        <v>#REF!</v>
      </c>
    </row>
    <row r="33" spans="1:44" ht="15.75" customHeight="1" x14ac:dyDescent="0.2">
      <c r="A33" s="3"/>
      <c r="B33" s="4"/>
      <c r="C33" s="4" t="s">
        <v>245</v>
      </c>
      <c r="D33" s="4"/>
      <c r="E33" s="4" t="s">
        <v>245</v>
      </c>
      <c r="F33" s="4"/>
      <c r="G33" s="36" t="str">
        <f t="shared" ca="1" si="0"/>
        <v/>
      </c>
      <c r="H33" s="84"/>
      <c r="I33" s="38"/>
      <c r="J33" s="4"/>
      <c r="K33" s="57"/>
      <c r="L33" s="38"/>
      <c r="M33" s="55"/>
      <c r="N33" s="86"/>
      <c r="O33" s="37" t="str">
        <f t="shared" ca="1" si="1"/>
        <v/>
      </c>
      <c r="P33" s="40" t="str">
        <f t="shared" ca="1" si="2"/>
        <v/>
      </c>
      <c r="Q33" s="89">
        <v>0</v>
      </c>
      <c r="R33" s="89">
        <v>0</v>
      </c>
      <c r="S33" s="89">
        <v>0</v>
      </c>
      <c r="T33" s="90"/>
      <c r="U33" s="89"/>
      <c r="V33" s="3" t="s">
        <v>245</v>
      </c>
      <c r="W33" s="14"/>
      <c r="X33" s="14"/>
      <c r="Y33" s="93"/>
      <c r="Z33" s="93"/>
      <c r="AA33" s="3" t="s">
        <v>245</v>
      </c>
      <c r="AB33" s="3"/>
      <c r="AC33" s="3" t="s">
        <v>245</v>
      </c>
      <c r="AD33" s="4"/>
      <c r="AE33" s="3" t="s">
        <v>314</v>
      </c>
      <c r="AF33" s="4"/>
      <c r="AG33" s="98" t="b">
        <f t="shared" ca="1" si="3"/>
        <v>0</v>
      </c>
      <c r="AH33" s="66" t="str">
        <f t="shared" ca="1" si="10"/>
        <v/>
      </c>
      <c r="AI33" s="66" t="str">
        <f t="shared" ca="1" si="11"/>
        <v/>
      </c>
      <c r="AJ33" s="66" t="str">
        <f t="shared" ca="1" si="4"/>
        <v/>
      </c>
      <c r="AK33" s="66" t="str">
        <f t="shared" ca="1" si="5"/>
        <v/>
      </c>
      <c r="AL33" s="66">
        <f t="shared" ca="1" si="6"/>
        <v>0</v>
      </c>
      <c r="AM33" s="66" t="str">
        <f t="shared" ca="1" si="7"/>
        <v/>
      </c>
      <c r="AN33" s="66" t="str">
        <f t="shared" ca="1" si="8"/>
        <v/>
      </c>
      <c r="AO33" s="66" t="str">
        <f t="shared" ca="1" si="9"/>
        <v/>
      </c>
      <c r="AP33" s="66" t="e">
        <f ca="1">CHOOSE(AH33,FALSE,Data!DV$2,Data!DV$2,Data!DV$2,FALSE,FALSE,Data!DV$2)</f>
        <v>#VALUE!</v>
      </c>
      <c r="AQ33" s="66" t="e">
        <f ca="1">CHOOSE(AH33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3" s="66" t="e">
        <f ca="1">IF(C33="Gestion","1151000",IF(AND(C33="Émissions_Fugitives",D33="Optimisation réfrigération"),"1151210",IF(AND(C33="Conversion",D33="Bioénergies"),"1151240",IF(AND(C33="Conversion",D33="Solaires"),"1151202",INDEX(OFFSET(Type_Entreprise,,2,,),MATCH(#REF!,Type_Entreprise,0))))))</f>
        <v>#REF!</v>
      </c>
    </row>
    <row r="34" spans="1:44" ht="15.75" customHeight="1" x14ac:dyDescent="0.2">
      <c r="A34" s="3"/>
      <c r="B34" s="4"/>
      <c r="C34" s="4" t="s">
        <v>245</v>
      </c>
      <c r="D34" s="4"/>
      <c r="E34" s="4" t="s">
        <v>245</v>
      </c>
      <c r="F34" s="4"/>
      <c r="G34" s="36" t="str">
        <f t="shared" ca="1" si="0"/>
        <v/>
      </c>
      <c r="H34" s="84"/>
      <c r="I34" s="38"/>
      <c r="J34" s="4"/>
      <c r="K34" s="57"/>
      <c r="L34" s="38"/>
      <c r="M34" s="55"/>
      <c r="N34" s="86"/>
      <c r="O34" s="37" t="str">
        <f t="shared" ca="1" si="1"/>
        <v/>
      </c>
      <c r="P34" s="40" t="str">
        <f t="shared" ca="1" si="2"/>
        <v/>
      </c>
      <c r="Q34" s="89">
        <v>0</v>
      </c>
      <c r="R34" s="89">
        <v>0</v>
      </c>
      <c r="S34" s="89">
        <v>0</v>
      </c>
      <c r="T34" s="90"/>
      <c r="U34" s="89"/>
      <c r="V34" s="3" t="s">
        <v>245</v>
      </c>
      <c r="W34" s="14"/>
      <c r="X34" s="14"/>
      <c r="Y34" s="93"/>
      <c r="Z34" s="93"/>
      <c r="AA34" s="3" t="s">
        <v>245</v>
      </c>
      <c r="AB34" s="3"/>
      <c r="AC34" s="3" t="s">
        <v>245</v>
      </c>
      <c r="AD34" s="4"/>
      <c r="AE34" s="3" t="s">
        <v>314</v>
      </c>
      <c r="AF34" s="4"/>
      <c r="AG34" s="98" t="b">
        <f t="shared" ca="1" si="3"/>
        <v>0</v>
      </c>
      <c r="AH34" s="66" t="str">
        <f t="shared" ca="1" si="10"/>
        <v/>
      </c>
      <c r="AI34" s="66" t="str">
        <f t="shared" ca="1" si="11"/>
        <v/>
      </c>
      <c r="AJ34" s="66" t="str">
        <f t="shared" ca="1" si="4"/>
        <v/>
      </c>
      <c r="AK34" s="66" t="str">
        <f t="shared" ca="1" si="5"/>
        <v/>
      </c>
      <c r="AL34" s="66">
        <f t="shared" ca="1" si="6"/>
        <v>0</v>
      </c>
      <c r="AM34" s="66" t="str">
        <f t="shared" ca="1" si="7"/>
        <v/>
      </c>
      <c r="AN34" s="66" t="str">
        <f t="shared" ca="1" si="8"/>
        <v/>
      </c>
      <c r="AO34" s="66" t="str">
        <f t="shared" ca="1" si="9"/>
        <v/>
      </c>
      <c r="AP34" s="66" t="e">
        <f ca="1">CHOOSE(AH34,FALSE,Data!DV$2,Data!DV$2,Data!DV$2,FALSE,FALSE,Data!DV$2)</f>
        <v>#VALUE!</v>
      </c>
      <c r="AQ34" s="66" t="e">
        <f ca="1">CHOOSE(AH34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4" s="66" t="e">
        <f ca="1">IF(C34="Gestion","1151000",IF(AND(C34="Émissions_Fugitives",D34="Optimisation réfrigération"),"1151210",IF(AND(C34="Conversion",D34="Bioénergies"),"1151240",IF(AND(C34="Conversion",D34="Solaires"),"1151202",INDEX(OFFSET(Type_Entreprise,,2,,),MATCH(#REF!,Type_Entreprise,0))))))</f>
        <v>#REF!</v>
      </c>
    </row>
    <row r="35" spans="1:44" ht="15.75" customHeight="1" x14ac:dyDescent="0.2">
      <c r="A35" s="3"/>
      <c r="B35" s="4"/>
      <c r="C35" s="4" t="s">
        <v>245</v>
      </c>
      <c r="D35" s="4"/>
      <c r="E35" s="4" t="s">
        <v>245</v>
      </c>
      <c r="F35" s="4"/>
      <c r="G35" s="36" t="str">
        <f t="shared" ca="1" si="0"/>
        <v/>
      </c>
      <c r="H35" s="84"/>
      <c r="I35" s="38"/>
      <c r="J35" s="4"/>
      <c r="K35" s="57"/>
      <c r="L35" s="38"/>
      <c r="M35" s="55"/>
      <c r="N35" s="86"/>
      <c r="O35" s="37" t="str">
        <f t="shared" ca="1" si="1"/>
        <v/>
      </c>
      <c r="P35" s="40" t="str">
        <f t="shared" ca="1" si="2"/>
        <v/>
      </c>
      <c r="Q35" s="89">
        <v>0</v>
      </c>
      <c r="R35" s="89">
        <v>0</v>
      </c>
      <c r="S35" s="89">
        <v>0</v>
      </c>
      <c r="T35" s="90"/>
      <c r="U35" s="89"/>
      <c r="V35" s="3" t="s">
        <v>245</v>
      </c>
      <c r="W35" s="14"/>
      <c r="X35" s="14"/>
      <c r="Y35" s="93"/>
      <c r="Z35" s="93"/>
      <c r="AA35" s="3" t="s">
        <v>245</v>
      </c>
      <c r="AB35" s="3"/>
      <c r="AC35" s="3" t="s">
        <v>245</v>
      </c>
      <c r="AD35" s="4"/>
      <c r="AE35" s="3" t="s">
        <v>314</v>
      </c>
      <c r="AF35" s="4"/>
      <c r="AG35" s="98" t="b">
        <f t="shared" ca="1" si="3"/>
        <v>0</v>
      </c>
      <c r="AH35" s="66" t="str">
        <f t="shared" ca="1" si="10"/>
        <v/>
      </c>
      <c r="AI35" s="66" t="str">
        <f t="shared" ca="1" si="11"/>
        <v/>
      </c>
      <c r="AJ35" s="66" t="str">
        <f t="shared" ca="1" si="4"/>
        <v/>
      </c>
      <c r="AK35" s="66" t="str">
        <f t="shared" ca="1" si="5"/>
        <v/>
      </c>
      <c r="AL35" s="66">
        <f t="shared" ca="1" si="6"/>
        <v>0</v>
      </c>
      <c r="AM35" s="66" t="str">
        <f t="shared" ca="1" si="7"/>
        <v/>
      </c>
      <c r="AN35" s="66" t="str">
        <f t="shared" ca="1" si="8"/>
        <v/>
      </c>
      <c r="AO35" s="66" t="str">
        <f t="shared" ca="1" si="9"/>
        <v/>
      </c>
      <c r="AP35" s="66" t="e">
        <f ca="1">CHOOSE(AH35,FALSE,Data!DV$2,Data!DV$2,Data!DV$2,FALSE,FALSE,Data!DV$2)</f>
        <v>#VALUE!</v>
      </c>
      <c r="AQ35" s="66" t="e">
        <f ca="1">CHOOSE(AH35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5" s="66" t="e">
        <f ca="1">IF(C35="Gestion","1151000",IF(AND(C35="Émissions_Fugitives",D35="Optimisation réfrigération"),"1151210",IF(AND(C35="Conversion",D35="Bioénergies"),"1151240",IF(AND(C35="Conversion",D35="Solaires"),"1151202",INDEX(OFFSET(Type_Entreprise,,2,,),MATCH(#REF!,Type_Entreprise,0))))))</f>
        <v>#REF!</v>
      </c>
    </row>
    <row r="36" spans="1:44" ht="15.75" customHeight="1" x14ac:dyDescent="0.2">
      <c r="A36" s="3"/>
      <c r="B36" s="4"/>
      <c r="C36" s="4" t="s">
        <v>245</v>
      </c>
      <c r="D36" s="4"/>
      <c r="E36" s="4" t="s">
        <v>245</v>
      </c>
      <c r="F36" s="4"/>
      <c r="G36" s="36" t="str">
        <f t="shared" ca="1" si="0"/>
        <v/>
      </c>
      <c r="H36" s="84"/>
      <c r="I36" s="38"/>
      <c r="J36" s="4"/>
      <c r="K36" s="57"/>
      <c r="L36" s="38"/>
      <c r="M36" s="55"/>
      <c r="N36" s="86"/>
      <c r="O36" s="37" t="str">
        <f t="shared" ca="1" si="1"/>
        <v/>
      </c>
      <c r="P36" s="40" t="str">
        <f t="shared" ca="1" si="2"/>
        <v/>
      </c>
      <c r="Q36" s="89">
        <v>0</v>
      </c>
      <c r="R36" s="89">
        <v>0</v>
      </c>
      <c r="S36" s="89">
        <v>0</v>
      </c>
      <c r="T36" s="90"/>
      <c r="U36" s="89"/>
      <c r="V36" s="3" t="s">
        <v>245</v>
      </c>
      <c r="W36" s="14"/>
      <c r="X36" s="14"/>
      <c r="Y36" s="93"/>
      <c r="Z36" s="93"/>
      <c r="AA36" s="3" t="s">
        <v>245</v>
      </c>
      <c r="AB36" s="3"/>
      <c r="AC36" s="3" t="s">
        <v>245</v>
      </c>
      <c r="AD36" s="4"/>
      <c r="AE36" s="3" t="s">
        <v>314</v>
      </c>
      <c r="AF36" s="4"/>
      <c r="AG36" s="98" t="b">
        <f t="shared" ca="1" si="3"/>
        <v>0</v>
      </c>
      <c r="AH36" s="66" t="str">
        <f t="shared" ca="1" si="10"/>
        <v/>
      </c>
      <c r="AI36" s="66" t="str">
        <f t="shared" ca="1" si="11"/>
        <v/>
      </c>
      <c r="AJ36" s="66" t="str">
        <f t="shared" ca="1" si="4"/>
        <v/>
      </c>
      <c r="AK36" s="66" t="str">
        <f t="shared" ca="1" si="5"/>
        <v/>
      </c>
      <c r="AL36" s="66">
        <f t="shared" ca="1" si="6"/>
        <v>0</v>
      </c>
      <c r="AM36" s="66" t="str">
        <f t="shared" ca="1" si="7"/>
        <v/>
      </c>
      <c r="AN36" s="66" t="str">
        <f t="shared" ca="1" si="8"/>
        <v/>
      </c>
      <c r="AO36" s="66" t="str">
        <f t="shared" ca="1" si="9"/>
        <v/>
      </c>
      <c r="AP36" s="66" t="e">
        <f ca="1">CHOOSE(AH36,FALSE,Data!DV$2,Data!DV$2,Data!DV$2,FALSE,FALSE,Data!DV$2)</f>
        <v>#VALUE!</v>
      </c>
      <c r="AQ36" s="66" t="e">
        <f ca="1">CHOOSE(AH36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6" s="66" t="e">
        <f ca="1">IF(C36="Gestion","1151000",IF(AND(C36="Émissions_Fugitives",D36="Optimisation réfrigération"),"1151210",IF(AND(C36="Conversion",D36="Bioénergies"),"1151240",IF(AND(C36="Conversion",D36="Solaires"),"1151202",INDEX(OFFSET(Type_Entreprise,,2,,),MATCH(#REF!,Type_Entreprise,0))))))</f>
        <v>#REF!</v>
      </c>
    </row>
    <row r="37" spans="1:44" ht="15.75" customHeight="1" x14ac:dyDescent="0.2">
      <c r="A37" s="3"/>
      <c r="B37" s="4"/>
      <c r="C37" s="4" t="s">
        <v>245</v>
      </c>
      <c r="D37" s="4"/>
      <c r="E37" s="4" t="s">
        <v>245</v>
      </c>
      <c r="F37" s="4"/>
      <c r="G37" s="36" t="str">
        <f t="shared" ca="1" si="0"/>
        <v/>
      </c>
      <c r="H37" s="84"/>
      <c r="I37" s="38"/>
      <c r="J37" s="4"/>
      <c r="K37" s="57"/>
      <c r="L37" s="38"/>
      <c r="M37" s="55"/>
      <c r="N37" s="86"/>
      <c r="O37" s="37" t="str">
        <f t="shared" ca="1" si="1"/>
        <v/>
      </c>
      <c r="P37" s="40" t="str">
        <f t="shared" ca="1" si="2"/>
        <v/>
      </c>
      <c r="Q37" s="89">
        <v>0</v>
      </c>
      <c r="R37" s="89">
        <v>0</v>
      </c>
      <c r="S37" s="89">
        <v>0</v>
      </c>
      <c r="T37" s="90"/>
      <c r="U37" s="89"/>
      <c r="V37" s="3" t="s">
        <v>245</v>
      </c>
      <c r="W37" s="14"/>
      <c r="X37" s="14"/>
      <c r="Y37" s="93"/>
      <c r="Z37" s="93"/>
      <c r="AA37" s="3" t="s">
        <v>245</v>
      </c>
      <c r="AB37" s="3"/>
      <c r="AC37" s="3" t="s">
        <v>245</v>
      </c>
      <c r="AD37" s="4"/>
      <c r="AE37" s="3" t="s">
        <v>314</v>
      </c>
      <c r="AF37" s="4"/>
      <c r="AG37" s="98" t="b">
        <f t="shared" ca="1" si="3"/>
        <v>0</v>
      </c>
      <c r="AH37" s="66" t="str">
        <f t="shared" ca="1" si="10"/>
        <v/>
      </c>
      <c r="AI37" s="66" t="str">
        <f t="shared" ca="1" si="11"/>
        <v/>
      </c>
      <c r="AJ37" s="66" t="str">
        <f t="shared" ca="1" si="4"/>
        <v/>
      </c>
      <c r="AK37" s="66" t="str">
        <f t="shared" ca="1" si="5"/>
        <v/>
      </c>
      <c r="AL37" s="66">
        <f t="shared" ca="1" si="6"/>
        <v>0</v>
      </c>
      <c r="AM37" s="66" t="str">
        <f t="shared" ca="1" si="7"/>
        <v/>
      </c>
      <c r="AN37" s="66" t="str">
        <f t="shared" ca="1" si="8"/>
        <v/>
      </c>
      <c r="AO37" s="66" t="str">
        <f t="shared" ca="1" si="9"/>
        <v/>
      </c>
      <c r="AP37" s="66" t="e">
        <f ca="1">CHOOSE(AH37,FALSE,Data!DV$2,Data!DV$2,Data!DV$2,FALSE,FALSE,Data!DV$2)</f>
        <v>#VALUE!</v>
      </c>
      <c r="AQ37" s="66" t="e">
        <f ca="1">CHOOSE(AH37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7" s="66" t="e">
        <f ca="1">IF(C37="Gestion","1151000",IF(AND(C37="Émissions_Fugitives",D37="Optimisation réfrigération"),"1151210",IF(AND(C37="Conversion",D37="Bioénergies"),"1151240",IF(AND(C37="Conversion",D37="Solaires"),"1151202",INDEX(OFFSET(Type_Entreprise,,2,,),MATCH(#REF!,Type_Entreprise,0))))))</f>
        <v>#REF!</v>
      </c>
    </row>
    <row r="38" spans="1:44" ht="15.75" customHeight="1" x14ac:dyDescent="0.2">
      <c r="A38" s="3"/>
      <c r="B38" s="4"/>
      <c r="C38" s="4" t="s">
        <v>245</v>
      </c>
      <c r="D38" s="4"/>
      <c r="E38" s="4" t="s">
        <v>245</v>
      </c>
      <c r="F38" s="4"/>
      <c r="G38" s="36" t="str">
        <f t="shared" ca="1" si="0"/>
        <v/>
      </c>
      <c r="H38" s="84"/>
      <c r="I38" s="38"/>
      <c r="J38" s="4"/>
      <c r="K38" s="57"/>
      <c r="L38" s="38"/>
      <c r="M38" s="55"/>
      <c r="N38" s="86"/>
      <c r="O38" s="37" t="str">
        <f t="shared" ca="1" si="1"/>
        <v/>
      </c>
      <c r="P38" s="40" t="str">
        <f t="shared" ca="1" si="2"/>
        <v/>
      </c>
      <c r="Q38" s="89">
        <v>0</v>
      </c>
      <c r="R38" s="89">
        <v>0</v>
      </c>
      <c r="S38" s="89">
        <v>0</v>
      </c>
      <c r="T38" s="90"/>
      <c r="U38" s="89"/>
      <c r="V38" s="3" t="s">
        <v>245</v>
      </c>
      <c r="W38" s="14"/>
      <c r="X38" s="14"/>
      <c r="Y38" s="93"/>
      <c r="Z38" s="93"/>
      <c r="AA38" s="3" t="s">
        <v>245</v>
      </c>
      <c r="AB38" s="3"/>
      <c r="AC38" s="3" t="s">
        <v>245</v>
      </c>
      <c r="AD38" s="4"/>
      <c r="AE38" s="3" t="s">
        <v>314</v>
      </c>
      <c r="AF38" s="4"/>
      <c r="AG38" s="98" t="b">
        <f t="shared" ca="1" si="3"/>
        <v>0</v>
      </c>
      <c r="AH38" s="66" t="str">
        <f t="shared" ca="1" si="10"/>
        <v/>
      </c>
      <c r="AI38" s="66" t="str">
        <f t="shared" ca="1" si="11"/>
        <v/>
      </c>
      <c r="AJ38" s="66" t="str">
        <f t="shared" ca="1" si="4"/>
        <v/>
      </c>
      <c r="AK38" s="66" t="str">
        <f t="shared" ca="1" si="5"/>
        <v/>
      </c>
      <c r="AL38" s="66">
        <f t="shared" ca="1" si="6"/>
        <v>0</v>
      </c>
      <c r="AM38" s="66" t="str">
        <f t="shared" ca="1" si="7"/>
        <v/>
      </c>
      <c r="AN38" s="66" t="str">
        <f t="shared" ca="1" si="8"/>
        <v/>
      </c>
      <c r="AO38" s="66" t="str">
        <f t="shared" ca="1" si="9"/>
        <v/>
      </c>
      <c r="AP38" s="66" t="e">
        <f ca="1">CHOOSE(AH38,FALSE,Data!DV$2,Data!DV$2,Data!DV$2,FALSE,FALSE,Data!DV$2)</f>
        <v>#VALUE!</v>
      </c>
      <c r="AQ38" s="66" t="e">
        <f ca="1">CHOOSE(AH38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8" s="66" t="e">
        <f ca="1">IF(C38="Gestion","1151000",IF(AND(C38="Émissions_Fugitives",D38="Optimisation réfrigération"),"1151210",IF(AND(C38="Conversion",D38="Bioénergies"),"1151240",IF(AND(C38="Conversion",D38="Solaires"),"1151202",INDEX(OFFSET(Type_Entreprise,,2,,),MATCH(#REF!,Type_Entreprise,0))))))</f>
        <v>#REF!</v>
      </c>
    </row>
    <row r="39" spans="1:44" ht="15.75" customHeight="1" x14ac:dyDescent="0.2">
      <c r="A39" s="3"/>
      <c r="B39" s="4"/>
      <c r="C39" s="4" t="s">
        <v>245</v>
      </c>
      <c r="D39" s="4"/>
      <c r="E39" s="4" t="s">
        <v>245</v>
      </c>
      <c r="F39" s="4"/>
      <c r="G39" s="36" t="str">
        <f t="shared" ca="1" si="0"/>
        <v/>
      </c>
      <c r="H39" s="84"/>
      <c r="I39" s="38"/>
      <c r="J39" s="4"/>
      <c r="K39" s="57"/>
      <c r="L39" s="38"/>
      <c r="M39" s="55"/>
      <c r="N39" s="86"/>
      <c r="O39" s="37" t="str">
        <f t="shared" ca="1" si="1"/>
        <v/>
      </c>
      <c r="P39" s="40" t="str">
        <f t="shared" ca="1" si="2"/>
        <v/>
      </c>
      <c r="Q39" s="89">
        <v>0</v>
      </c>
      <c r="R39" s="89">
        <v>0</v>
      </c>
      <c r="S39" s="89">
        <v>0</v>
      </c>
      <c r="T39" s="90"/>
      <c r="U39" s="89"/>
      <c r="V39" s="3" t="s">
        <v>245</v>
      </c>
      <c r="W39" s="14"/>
      <c r="X39" s="14"/>
      <c r="Y39" s="93"/>
      <c r="Z39" s="93"/>
      <c r="AA39" s="3" t="s">
        <v>245</v>
      </c>
      <c r="AB39" s="3"/>
      <c r="AC39" s="3" t="s">
        <v>245</v>
      </c>
      <c r="AD39" s="4"/>
      <c r="AE39" s="3" t="s">
        <v>314</v>
      </c>
      <c r="AF39" s="4"/>
      <c r="AG39" s="98" t="b">
        <f t="shared" ca="1" si="3"/>
        <v>0</v>
      </c>
      <c r="AH39" s="66" t="str">
        <f t="shared" ca="1" si="10"/>
        <v/>
      </c>
      <c r="AI39" s="66" t="str">
        <f t="shared" ca="1" si="11"/>
        <v/>
      </c>
      <c r="AJ39" s="66" t="str">
        <f t="shared" ca="1" si="4"/>
        <v/>
      </c>
      <c r="AK39" s="66" t="str">
        <f t="shared" ca="1" si="5"/>
        <v/>
      </c>
      <c r="AL39" s="66">
        <f t="shared" ca="1" si="6"/>
        <v>0</v>
      </c>
      <c r="AM39" s="66" t="str">
        <f t="shared" ca="1" si="7"/>
        <v/>
      </c>
      <c r="AN39" s="66" t="str">
        <f t="shared" ca="1" si="8"/>
        <v/>
      </c>
      <c r="AO39" s="66" t="str">
        <f t="shared" ca="1" si="9"/>
        <v/>
      </c>
      <c r="AP39" s="66" t="e">
        <f ca="1">CHOOSE(AH39,FALSE,Data!DV$2,Data!DV$2,Data!DV$2,FALSE,FALSE,Data!DV$2)</f>
        <v>#VALUE!</v>
      </c>
      <c r="AQ39" s="66" t="e">
        <f ca="1">CHOOSE(AH39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39" s="66" t="e">
        <f ca="1">IF(C39="Gestion","1151000",IF(AND(C39="Émissions_Fugitives",D39="Optimisation réfrigération"),"1151210",IF(AND(C39="Conversion",D39="Bioénergies"),"1151240",IF(AND(C39="Conversion",D39="Solaires"),"1151202",INDEX(OFFSET(Type_Entreprise,,2,,),MATCH(#REF!,Type_Entreprise,0))))))</f>
        <v>#REF!</v>
      </c>
    </row>
    <row r="40" spans="1:44" ht="15.75" customHeight="1" x14ac:dyDescent="0.2">
      <c r="A40" s="3"/>
      <c r="B40" s="4"/>
      <c r="C40" s="4" t="s">
        <v>245</v>
      </c>
      <c r="D40" s="4"/>
      <c r="E40" s="4" t="s">
        <v>245</v>
      </c>
      <c r="F40" s="4"/>
      <c r="G40" s="36" t="str">
        <f t="shared" ca="1" si="0"/>
        <v/>
      </c>
      <c r="H40" s="84"/>
      <c r="I40" s="38"/>
      <c r="J40" s="4"/>
      <c r="K40" s="57"/>
      <c r="L40" s="38"/>
      <c r="M40" s="55"/>
      <c r="N40" s="86"/>
      <c r="O40" s="37" t="str">
        <f t="shared" ca="1" si="1"/>
        <v/>
      </c>
      <c r="P40" s="40" t="str">
        <f t="shared" ca="1" si="2"/>
        <v/>
      </c>
      <c r="Q40" s="89">
        <v>0</v>
      </c>
      <c r="R40" s="89">
        <v>0</v>
      </c>
      <c r="S40" s="89">
        <v>0</v>
      </c>
      <c r="T40" s="90"/>
      <c r="U40" s="89"/>
      <c r="V40" s="3" t="s">
        <v>245</v>
      </c>
      <c r="W40" s="14"/>
      <c r="X40" s="14"/>
      <c r="Y40" s="93"/>
      <c r="Z40" s="93"/>
      <c r="AA40" s="3" t="s">
        <v>245</v>
      </c>
      <c r="AB40" s="3"/>
      <c r="AC40" s="3" t="s">
        <v>245</v>
      </c>
      <c r="AD40" s="4"/>
      <c r="AE40" s="3" t="s">
        <v>314</v>
      </c>
      <c r="AF40" s="4"/>
      <c r="AG40" s="98" t="b">
        <f t="shared" ca="1" si="3"/>
        <v>0</v>
      </c>
      <c r="AH40" s="66" t="str">
        <f t="shared" ca="1" si="10"/>
        <v/>
      </c>
      <c r="AI40" s="66" t="str">
        <f t="shared" ca="1" si="11"/>
        <v/>
      </c>
      <c r="AJ40" s="66" t="str">
        <f t="shared" ca="1" si="4"/>
        <v/>
      </c>
      <c r="AK40" s="66" t="str">
        <f t="shared" ca="1" si="5"/>
        <v/>
      </c>
      <c r="AL40" s="66">
        <f t="shared" ca="1" si="6"/>
        <v>0</v>
      </c>
      <c r="AM40" s="66" t="str">
        <f t="shared" ca="1" si="7"/>
        <v/>
      </c>
      <c r="AN40" s="66" t="str">
        <f t="shared" ca="1" si="8"/>
        <v/>
      </c>
      <c r="AO40" s="66" t="str">
        <f t="shared" ca="1" si="9"/>
        <v/>
      </c>
      <c r="AP40" s="66" t="e">
        <f ca="1">CHOOSE(AH40,FALSE,Data!DV$2,Data!DV$2,Data!DV$2,FALSE,FALSE,Data!DV$2)</f>
        <v>#VALUE!</v>
      </c>
      <c r="AQ40" s="66" t="e">
        <f ca="1">CHOOSE(AH40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0" s="66" t="e">
        <f ca="1">IF(C40="Gestion","1151000",IF(AND(C40="Émissions_Fugitives",D40="Optimisation réfrigération"),"1151210",IF(AND(C40="Conversion",D40="Bioénergies"),"1151240",IF(AND(C40="Conversion",D40="Solaires"),"1151202",INDEX(OFFSET(Type_Entreprise,,2,,),MATCH(#REF!,Type_Entreprise,0))))))</f>
        <v>#REF!</v>
      </c>
    </row>
    <row r="41" spans="1:44" ht="15.75" customHeight="1" x14ac:dyDescent="0.2">
      <c r="A41" s="3"/>
      <c r="B41" s="4"/>
      <c r="C41" s="4" t="s">
        <v>245</v>
      </c>
      <c r="D41" s="4"/>
      <c r="E41" s="4" t="s">
        <v>245</v>
      </c>
      <c r="F41" s="4"/>
      <c r="G41" s="36" t="str">
        <f t="shared" ca="1" si="0"/>
        <v/>
      </c>
      <c r="H41" s="84"/>
      <c r="I41" s="38"/>
      <c r="J41" s="4"/>
      <c r="K41" s="57"/>
      <c r="L41" s="38"/>
      <c r="M41" s="55"/>
      <c r="N41" s="86"/>
      <c r="O41" s="37" t="str">
        <f t="shared" ca="1" si="1"/>
        <v/>
      </c>
      <c r="P41" s="40" t="str">
        <f t="shared" ca="1" si="2"/>
        <v/>
      </c>
      <c r="Q41" s="89">
        <v>0</v>
      </c>
      <c r="R41" s="89">
        <v>0</v>
      </c>
      <c r="S41" s="89">
        <v>0</v>
      </c>
      <c r="T41" s="90"/>
      <c r="U41" s="89"/>
      <c r="V41" s="3" t="s">
        <v>245</v>
      </c>
      <c r="W41" s="14"/>
      <c r="X41" s="14"/>
      <c r="Y41" s="93"/>
      <c r="Z41" s="93"/>
      <c r="AA41" s="3" t="s">
        <v>245</v>
      </c>
      <c r="AB41" s="3"/>
      <c r="AC41" s="3" t="s">
        <v>245</v>
      </c>
      <c r="AD41" s="4"/>
      <c r="AE41" s="3" t="s">
        <v>314</v>
      </c>
      <c r="AF41" s="4"/>
      <c r="AG41" s="98" t="b">
        <f t="shared" ca="1" si="3"/>
        <v>0</v>
      </c>
      <c r="AH41" s="66" t="str">
        <f t="shared" ca="1" si="10"/>
        <v/>
      </c>
      <c r="AI41" s="66" t="str">
        <f t="shared" ca="1" si="11"/>
        <v/>
      </c>
      <c r="AJ41" s="66" t="str">
        <f t="shared" ca="1" si="4"/>
        <v/>
      </c>
      <c r="AK41" s="66" t="str">
        <f t="shared" ca="1" si="5"/>
        <v/>
      </c>
      <c r="AL41" s="66">
        <f t="shared" ca="1" si="6"/>
        <v>0</v>
      </c>
      <c r="AM41" s="66" t="str">
        <f t="shared" ca="1" si="7"/>
        <v/>
      </c>
      <c r="AN41" s="66" t="str">
        <f t="shared" ca="1" si="8"/>
        <v/>
      </c>
      <c r="AO41" s="66" t="str">
        <f t="shared" ca="1" si="9"/>
        <v/>
      </c>
      <c r="AP41" s="66" t="e">
        <f ca="1">CHOOSE(AH41,FALSE,Data!DV$2,Data!DV$2,Data!DV$2,FALSE,FALSE,Data!DV$2)</f>
        <v>#VALUE!</v>
      </c>
      <c r="AQ41" s="66" t="e">
        <f ca="1">CHOOSE(AH41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1" s="66" t="e">
        <f ca="1">IF(C41="Gestion","1151000",IF(AND(C41="Émissions_Fugitives",D41="Optimisation réfrigération"),"1151210",IF(AND(C41="Conversion",D41="Bioénergies"),"1151240",IF(AND(C41="Conversion",D41="Solaires"),"1151202",INDEX(OFFSET(Type_Entreprise,,2,,),MATCH(#REF!,Type_Entreprise,0))))))</f>
        <v>#REF!</v>
      </c>
    </row>
    <row r="42" spans="1:44" ht="15.75" customHeight="1" x14ac:dyDescent="0.2">
      <c r="A42" s="3"/>
      <c r="B42" s="4"/>
      <c r="C42" s="4" t="s">
        <v>245</v>
      </c>
      <c r="D42" s="4"/>
      <c r="E42" s="4" t="s">
        <v>245</v>
      </c>
      <c r="F42" s="4"/>
      <c r="G42" s="36" t="str">
        <f t="shared" ca="1" si="0"/>
        <v/>
      </c>
      <c r="H42" s="84"/>
      <c r="I42" s="38"/>
      <c r="J42" s="4"/>
      <c r="K42" s="57"/>
      <c r="L42" s="38"/>
      <c r="M42" s="55"/>
      <c r="N42" s="86"/>
      <c r="O42" s="37" t="str">
        <f t="shared" ca="1" si="1"/>
        <v/>
      </c>
      <c r="P42" s="40" t="str">
        <f t="shared" ca="1" si="2"/>
        <v/>
      </c>
      <c r="Q42" s="89">
        <v>0</v>
      </c>
      <c r="R42" s="89">
        <v>0</v>
      </c>
      <c r="S42" s="89">
        <v>0</v>
      </c>
      <c r="T42" s="90"/>
      <c r="U42" s="89"/>
      <c r="V42" s="3" t="s">
        <v>245</v>
      </c>
      <c r="W42" s="14"/>
      <c r="X42" s="14"/>
      <c r="Y42" s="93"/>
      <c r="Z42" s="93"/>
      <c r="AA42" s="3" t="s">
        <v>245</v>
      </c>
      <c r="AB42" s="3"/>
      <c r="AC42" s="3" t="s">
        <v>245</v>
      </c>
      <c r="AD42" s="4"/>
      <c r="AE42" s="3" t="s">
        <v>314</v>
      </c>
      <c r="AF42" s="4"/>
      <c r="AG42" s="98" t="b">
        <f t="shared" ca="1" si="3"/>
        <v>0</v>
      </c>
      <c r="AH42" s="66" t="str">
        <f t="shared" ca="1" si="10"/>
        <v/>
      </c>
      <c r="AI42" s="66" t="str">
        <f t="shared" ca="1" si="11"/>
        <v/>
      </c>
      <c r="AJ42" s="66" t="str">
        <f t="shared" ca="1" si="4"/>
        <v/>
      </c>
      <c r="AK42" s="66" t="str">
        <f t="shared" ca="1" si="5"/>
        <v/>
      </c>
      <c r="AL42" s="66">
        <f t="shared" ca="1" si="6"/>
        <v>0</v>
      </c>
      <c r="AM42" s="66" t="str">
        <f t="shared" ca="1" si="7"/>
        <v/>
      </c>
      <c r="AN42" s="66" t="str">
        <f t="shared" ca="1" si="8"/>
        <v/>
      </c>
      <c r="AO42" s="66" t="str">
        <f t="shared" ca="1" si="9"/>
        <v/>
      </c>
      <c r="AP42" s="66" t="e">
        <f ca="1">CHOOSE(AH42,FALSE,Data!DV$2,Data!DV$2,Data!DV$2,FALSE,FALSE,Data!DV$2)</f>
        <v>#VALUE!</v>
      </c>
      <c r="AQ42" s="66" t="e">
        <f ca="1">CHOOSE(AH42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2" s="66" t="e">
        <f ca="1">IF(C42="Gestion","1151000",IF(AND(C42="Émissions_Fugitives",D42="Optimisation réfrigération"),"1151210",IF(AND(C42="Conversion",D42="Bioénergies"),"1151240",IF(AND(C42="Conversion",D42="Solaires"),"1151202",INDEX(OFFSET(Type_Entreprise,,2,,),MATCH(#REF!,Type_Entreprise,0))))))</f>
        <v>#REF!</v>
      </c>
    </row>
    <row r="43" spans="1:44" ht="15.75" customHeight="1" x14ac:dyDescent="0.2">
      <c r="A43" s="3"/>
      <c r="B43" s="4"/>
      <c r="C43" s="4" t="s">
        <v>245</v>
      </c>
      <c r="D43" s="4"/>
      <c r="E43" s="4" t="s">
        <v>245</v>
      </c>
      <c r="F43" s="4"/>
      <c r="G43" s="36" t="str">
        <f t="shared" ca="1" si="0"/>
        <v/>
      </c>
      <c r="H43" s="84"/>
      <c r="I43" s="38"/>
      <c r="J43" s="4"/>
      <c r="K43" s="57"/>
      <c r="L43" s="38"/>
      <c r="M43" s="55"/>
      <c r="N43" s="86"/>
      <c r="O43" s="37" t="str">
        <f t="shared" ca="1" si="1"/>
        <v/>
      </c>
      <c r="P43" s="40" t="str">
        <f t="shared" ca="1" si="2"/>
        <v/>
      </c>
      <c r="Q43" s="89">
        <v>0</v>
      </c>
      <c r="R43" s="89">
        <v>0</v>
      </c>
      <c r="S43" s="89">
        <v>0</v>
      </c>
      <c r="T43" s="90"/>
      <c r="U43" s="89"/>
      <c r="V43" s="3" t="s">
        <v>245</v>
      </c>
      <c r="W43" s="14"/>
      <c r="X43" s="14"/>
      <c r="Y43" s="93"/>
      <c r="Z43" s="93"/>
      <c r="AA43" s="3" t="s">
        <v>245</v>
      </c>
      <c r="AB43" s="3"/>
      <c r="AC43" s="3" t="s">
        <v>245</v>
      </c>
      <c r="AD43" s="4"/>
      <c r="AE43" s="3" t="s">
        <v>314</v>
      </c>
      <c r="AF43" s="4"/>
      <c r="AG43" s="98" t="b">
        <f t="shared" ca="1" si="3"/>
        <v>0</v>
      </c>
      <c r="AH43" s="66" t="str">
        <f t="shared" ca="1" si="10"/>
        <v/>
      </c>
      <c r="AI43" s="66" t="str">
        <f t="shared" ca="1" si="11"/>
        <v/>
      </c>
      <c r="AJ43" s="66" t="str">
        <f t="shared" ca="1" si="4"/>
        <v/>
      </c>
      <c r="AK43" s="66" t="str">
        <f t="shared" ca="1" si="5"/>
        <v/>
      </c>
      <c r="AL43" s="66">
        <f t="shared" ca="1" si="6"/>
        <v>0</v>
      </c>
      <c r="AM43" s="66" t="str">
        <f t="shared" ca="1" si="7"/>
        <v/>
      </c>
      <c r="AN43" s="66" t="str">
        <f t="shared" ca="1" si="8"/>
        <v/>
      </c>
      <c r="AO43" s="66" t="str">
        <f t="shared" ca="1" si="9"/>
        <v/>
      </c>
      <c r="AP43" s="66" t="e">
        <f ca="1">CHOOSE(AH43,FALSE,Data!DV$2,Data!DV$2,Data!DV$2,FALSE,FALSE,Data!DV$2)</f>
        <v>#VALUE!</v>
      </c>
      <c r="AQ43" s="66" t="e">
        <f ca="1">CHOOSE(AH43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3" s="66" t="e">
        <f ca="1">IF(C43="Gestion","1151000",IF(AND(C43="Émissions_Fugitives",D43="Optimisation réfrigération"),"1151210",IF(AND(C43="Conversion",D43="Bioénergies"),"1151240",IF(AND(C43="Conversion",D43="Solaires"),"1151202",INDEX(OFFSET(Type_Entreprise,,2,,),MATCH(#REF!,Type_Entreprise,0))))))</f>
        <v>#REF!</v>
      </c>
    </row>
    <row r="44" spans="1:44" ht="15.75" customHeight="1" x14ac:dyDescent="0.2">
      <c r="A44" s="3"/>
      <c r="B44" s="4"/>
      <c r="C44" s="4" t="s">
        <v>245</v>
      </c>
      <c r="D44" s="4"/>
      <c r="E44" s="4" t="s">
        <v>245</v>
      </c>
      <c r="F44" s="4"/>
      <c r="G44" s="36" t="str">
        <f t="shared" ca="1" si="0"/>
        <v/>
      </c>
      <c r="H44" s="84"/>
      <c r="I44" s="38"/>
      <c r="J44" s="4"/>
      <c r="K44" s="57"/>
      <c r="L44" s="38"/>
      <c r="M44" s="55"/>
      <c r="N44" s="86"/>
      <c r="O44" s="37" t="str">
        <f t="shared" ca="1" si="1"/>
        <v/>
      </c>
      <c r="P44" s="40" t="str">
        <f t="shared" ca="1" si="2"/>
        <v/>
      </c>
      <c r="Q44" s="89">
        <v>0</v>
      </c>
      <c r="R44" s="89">
        <v>0</v>
      </c>
      <c r="S44" s="89">
        <v>0</v>
      </c>
      <c r="T44" s="90"/>
      <c r="U44" s="89"/>
      <c r="V44" s="3" t="s">
        <v>245</v>
      </c>
      <c r="W44" s="14"/>
      <c r="X44" s="14"/>
      <c r="Y44" s="93"/>
      <c r="Z44" s="93"/>
      <c r="AA44" s="3" t="s">
        <v>245</v>
      </c>
      <c r="AB44" s="3"/>
      <c r="AC44" s="3" t="s">
        <v>245</v>
      </c>
      <c r="AD44" s="4"/>
      <c r="AE44" s="3" t="s">
        <v>314</v>
      </c>
      <c r="AF44" s="4"/>
      <c r="AG44" s="98" t="b">
        <f t="shared" ca="1" si="3"/>
        <v>0</v>
      </c>
      <c r="AH44" s="66" t="str">
        <f t="shared" ca="1" si="10"/>
        <v/>
      </c>
      <c r="AI44" s="66" t="str">
        <f t="shared" ca="1" si="11"/>
        <v/>
      </c>
      <c r="AJ44" s="66" t="str">
        <f t="shared" ca="1" si="4"/>
        <v/>
      </c>
      <c r="AK44" s="66" t="str">
        <f t="shared" ca="1" si="5"/>
        <v/>
      </c>
      <c r="AL44" s="66">
        <f t="shared" ca="1" si="6"/>
        <v>0</v>
      </c>
      <c r="AM44" s="66" t="str">
        <f t="shared" ca="1" si="7"/>
        <v/>
      </c>
      <c r="AN44" s="66" t="str">
        <f t="shared" ca="1" si="8"/>
        <v/>
      </c>
      <c r="AO44" s="66" t="str">
        <f t="shared" ca="1" si="9"/>
        <v/>
      </c>
      <c r="AP44" s="66" t="e">
        <f ca="1">CHOOSE(AH44,FALSE,Data!DV$2,Data!DV$2,Data!DV$2,FALSE,FALSE,Data!DV$2)</f>
        <v>#VALUE!</v>
      </c>
      <c r="AQ44" s="66" t="e">
        <f ca="1">CHOOSE(AH44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4" s="66" t="e">
        <f ca="1">IF(C44="Gestion","1151000",IF(AND(C44="Émissions_Fugitives",D44="Optimisation réfrigération"),"1151210",IF(AND(C44="Conversion",D44="Bioénergies"),"1151240",IF(AND(C44="Conversion",D44="Solaires"),"1151202",INDEX(OFFSET(Type_Entreprise,,2,,),MATCH(#REF!,Type_Entreprise,0))))))</f>
        <v>#REF!</v>
      </c>
    </row>
    <row r="45" spans="1:44" ht="15.75" customHeight="1" x14ac:dyDescent="0.2">
      <c r="A45" s="3"/>
      <c r="B45" s="4"/>
      <c r="C45" s="4" t="s">
        <v>245</v>
      </c>
      <c r="D45" s="4"/>
      <c r="E45" s="4" t="s">
        <v>245</v>
      </c>
      <c r="F45" s="4"/>
      <c r="G45" s="36" t="str">
        <f t="shared" ca="1" si="0"/>
        <v/>
      </c>
      <c r="H45" s="84"/>
      <c r="I45" s="38"/>
      <c r="J45" s="4"/>
      <c r="K45" s="57"/>
      <c r="L45" s="38"/>
      <c r="M45" s="55"/>
      <c r="N45" s="86"/>
      <c r="O45" s="37" t="str">
        <f t="shared" ca="1" si="1"/>
        <v/>
      </c>
      <c r="P45" s="40" t="str">
        <f t="shared" ca="1" si="2"/>
        <v/>
      </c>
      <c r="Q45" s="89">
        <v>0</v>
      </c>
      <c r="R45" s="89">
        <v>0</v>
      </c>
      <c r="S45" s="89">
        <v>0</v>
      </c>
      <c r="T45" s="90"/>
      <c r="U45" s="89"/>
      <c r="V45" s="3" t="s">
        <v>245</v>
      </c>
      <c r="W45" s="14"/>
      <c r="X45" s="14"/>
      <c r="Y45" s="93"/>
      <c r="Z45" s="93"/>
      <c r="AA45" s="3" t="s">
        <v>245</v>
      </c>
      <c r="AB45" s="3"/>
      <c r="AC45" s="3" t="s">
        <v>245</v>
      </c>
      <c r="AD45" s="4"/>
      <c r="AE45" s="3" t="s">
        <v>314</v>
      </c>
      <c r="AF45" s="4"/>
      <c r="AG45" s="98" t="b">
        <f t="shared" ca="1" si="3"/>
        <v>0</v>
      </c>
      <c r="AH45" s="66" t="str">
        <f t="shared" ca="1" si="10"/>
        <v/>
      </c>
      <c r="AI45" s="66" t="str">
        <f t="shared" ca="1" si="11"/>
        <v/>
      </c>
      <c r="AJ45" s="66" t="str">
        <f t="shared" ca="1" si="4"/>
        <v/>
      </c>
      <c r="AK45" s="66" t="str">
        <f t="shared" ca="1" si="5"/>
        <v/>
      </c>
      <c r="AL45" s="66">
        <f t="shared" ca="1" si="6"/>
        <v>0</v>
      </c>
      <c r="AM45" s="66" t="str">
        <f t="shared" ca="1" si="7"/>
        <v/>
      </c>
      <c r="AN45" s="66" t="str">
        <f t="shared" ca="1" si="8"/>
        <v/>
      </c>
      <c r="AO45" s="66" t="str">
        <f t="shared" ca="1" si="9"/>
        <v/>
      </c>
      <c r="AP45" s="66" t="e">
        <f ca="1">CHOOSE(AH45,FALSE,Data!DV$2,Data!DV$2,Data!DV$2,FALSE,FALSE,Data!DV$2)</f>
        <v>#VALUE!</v>
      </c>
      <c r="AQ45" s="66" t="e">
        <f ca="1">CHOOSE(AH45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5" s="66" t="e">
        <f ca="1">IF(C45="Gestion","1151000",IF(AND(C45="Émissions_Fugitives",D45="Optimisation réfrigération"),"1151210",IF(AND(C45="Conversion",D45="Bioénergies"),"1151240",IF(AND(C45="Conversion",D45="Solaires"),"1151202",INDEX(OFFSET(Type_Entreprise,,2,,),MATCH(#REF!,Type_Entreprise,0))))))</f>
        <v>#REF!</v>
      </c>
    </row>
    <row r="46" spans="1:44" ht="15.75" customHeight="1" x14ac:dyDescent="0.2">
      <c r="A46" s="3"/>
      <c r="B46" s="4"/>
      <c r="C46" s="4" t="s">
        <v>245</v>
      </c>
      <c r="D46" s="4"/>
      <c r="E46" s="4" t="s">
        <v>245</v>
      </c>
      <c r="F46" s="4"/>
      <c r="G46" s="36" t="str">
        <f t="shared" ca="1" si="0"/>
        <v/>
      </c>
      <c r="H46" s="84"/>
      <c r="I46" s="38"/>
      <c r="J46" s="4"/>
      <c r="K46" s="57"/>
      <c r="L46" s="38"/>
      <c r="M46" s="55"/>
      <c r="N46" s="86"/>
      <c r="O46" s="37" t="str">
        <f t="shared" ca="1" si="1"/>
        <v/>
      </c>
      <c r="P46" s="40" t="str">
        <f t="shared" ca="1" si="2"/>
        <v/>
      </c>
      <c r="Q46" s="89">
        <v>0</v>
      </c>
      <c r="R46" s="89">
        <v>0</v>
      </c>
      <c r="S46" s="89">
        <v>0</v>
      </c>
      <c r="T46" s="90"/>
      <c r="U46" s="89"/>
      <c r="V46" s="3" t="s">
        <v>245</v>
      </c>
      <c r="W46" s="14"/>
      <c r="X46" s="14"/>
      <c r="Y46" s="93"/>
      <c r="Z46" s="93"/>
      <c r="AA46" s="3" t="s">
        <v>245</v>
      </c>
      <c r="AB46" s="3"/>
      <c r="AC46" s="3" t="s">
        <v>245</v>
      </c>
      <c r="AD46" s="4"/>
      <c r="AE46" s="3" t="s">
        <v>314</v>
      </c>
      <c r="AF46" s="4"/>
      <c r="AG46" s="98" t="b">
        <f t="shared" ca="1" si="3"/>
        <v>0</v>
      </c>
      <c r="AH46" s="66" t="str">
        <f t="shared" ca="1" si="10"/>
        <v/>
      </c>
      <c r="AI46" s="66" t="str">
        <f t="shared" ca="1" si="11"/>
        <v/>
      </c>
      <c r="AJ46" s="66" t="str">
        <f t="shared" ca="1" si="4"/>
        <v/>
      </c>
      <c r="AK46" s="66" t="str">
        <f t="shared" ca="1" si="5"/>
        <v/>
      </c>
      <c r="AL46" s="66">
        <f t="shared" ca="1" si="6"/>
        <v>0</v>
      </c>
      <c r="AM46" s="66" t="str">
        <f t="shared" ca="1" si="7"/>
        <v/>
      </c>
      <c r="AN46" s="66" t="str">
        <f t="shared" ca="1" si="8"/>
        <v/>
      </c>
      <c r="AO46" s="66" t="str">
        <f t="shared" ca="1" si="9"/>
        <v/>
      </c>
      <c r="AP46" s="66" t="e">
        <f ca="1">CHOOSE(AH46,FALSE,Data!DV$2,Data!DV$2,Data!DV$2,FALSE,FALSE,Data!DV$2)</f>
        <v>#VALUE!</v>
      </c>
      <c r="AQ46" s="66" t="e">
        <f ca="1">CHOOSE(AH46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6" s="66" t="e">
        <f ca="1">IF(C46="Gestion","1151000",IF(AND(C46="Émissions_Fugitives",D46="Optimisation réfrigération"),"1151210",IF(AND(C46="Conversion",D46="Bioénergies"),"1151240",IF(AND(C46="Conversion",D46="Solaires"),"1151202",INDEX(OFFSET(Type_Entreprise,,2,,),MATCH(#REF!,Type_Entreprise,0))))))</f>
        <v>#REF!</v>
      </c>
    </row>
    <row r="47" spans="1:44" ht="15.75" customHeight="1" x14ac:dyDescent="0.2">
      <c r="A47" s="3"/>
      <c r="B47" s="4"/>
      <c r="C47" s="4" t="s">
        <v>245</v>
      </c>
      <c r="D47" s="4"/>
      <c r="E47" s="4" t="s">
        <v>245</v>
      </c>
      <c r="F47" s="4"/>
      <c r="G47" s="36" t="str">
        <f t="shared" ca="1" si="0"/>
        <v/>
      </c>
      <c r="H47" s="84"/>
      <c r="I47" s="38"/>
      <c r="J47" s="4"/>
      <c r="K47" s="57"/>
      <c r="L47" s="38"/>
      <c r="M47" s="55"/>
      <c r="N47" s="86"/>
      <c r="O47" s="37" t="str">
        <f t="shared" ca="1" si="1"/>
        <v/>
      </c>
      <c r="P47" s="40" t="str">
        <f t="shared" ca="1" si="2"/>
        <v/>
      </c>
      <c r="Q47" s="89">
        <v>0</v>
      </c>
      <c r="R47" s="89">
        <v>0</v>
      </c>
      <c r="S47" s="89">
        <v>0</v>
      </c>
      <c r="T47" s="90"/>
      <c r="U47" s="89"/>
      <c r="V47" s="3" t="s">
        <v>245</v>
      </c>
      <c r="W47" s="14"/>
      <c r="X47" s="14"/>
      <c r="Y47" s="93"/>
      <c r="Z47" s="93"/>
      <c r="AA47" s="3" t="s">
        <v>245</v>
      </c>
      <c r="AB47" s="3"/>
      <c r="AC47" s="3" t="s">
        <v>245</v>
      </c>
      <c r="AD47" s="4"/>
      <c r="AE47" s="3" t="s">
        <v>314</v>
      </c>
      <c r="AF47" s="9"/>
      <c r="AG47" s="98" t="b">
        <f t="shared" ca="1" si="3"/>
        <v>0</v>
      </c>
      <c r="AH47" s="66" t="str">
        <f t="shared" ca="1" si="10"/>
        <v/>
      </c>
      <c r="AI47" s="66" t="str">
        <f t="shared" ca="1" si="11"/>
        <v/>
      </c>
      <c r="AJ47" s="66" t="str">
        <f t="shared" ca="1" si="4"/>
        <v/>
      </c>
      <c r="AK47" s="66" t="str">
        <f t="shared" ca="1" si="5"/>
        <v/>
      </c>
      <c r="AL47" s="66">
        <f t="shared" ca="1" si="6"/>
        <v>0</v>
      </c>
      <c r="AM47" s="66" t="str">
        <f t="shared" ca="1" si="7"/>
        <v/>
      </c>
      <c r="AN47" s="66" t="str">
        <f t="shared" ca="1" si="8"/>
        <v/>
      </c>
      <c r="AO47" s="66" t="str">
        <f t="shared" ca="1" si="9"/>
        <v/>
      </c>
      <c r="AP47" s="66" t="e">
        <f ca="1">CHOOSE(AH47,FALSE,Data!DV$2,Data!DV$2,Data!DV$2,FALSE,FALSE,Data!DV$2)</f>
        <v>#VALUE!</v>
      </c>
      <c r="AQ47" s="66" t="e">
        <f ca="1">CHOOSE(AH47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7" s="66" t="e">
        <f ca="1">IF(C47="Gestion","1151000",IF(AND(C47="Émissions_Fugitives",D47="Optimisation réfrigération"),"1151210",IF(AND(C47="Conversion",D47="Bioénergies"),"1151240",IF(AND(C47="Conversion",D47="Solaires"),"1151202",INDEX(OFFSET(Type_Entreprise,,2,,),MATCH(#REF!,Type_Entreprise,0))))))</f>
        <v>#REF!</v>
      </c>
    </row>
    <row r="48" spans="1:44" ht="15.75" customHeight="1" x14ac:dyDescent="0.2">
      <c r="A48" s="3"/>
      <c r="B48" s="4"/>
      <c r="C48" s="4" t="s">
        <v>245</v>
      </c>
      <c r="D48" s="4"/>
      <c r="E48" s="4" t="s">
        <v>245</v>
      </c>
      <c r="F48" s="4"/>
      <c r="G48" s="36" t="str">
        <f t="shared" ca="1" si="0"/>
        <v/>
      </c>
      <c r="H48" s="84"/>
      <c r="I48" s="38"/>
      <c r="J48" s="4"/>
      <c r="K48" s="57"/>
      <c r="L48" s="38"/>
      <c r="M48" s="55"/>
      <c r="N48" s="86"/>
      <c r="O48" s="37" t="str">
        <f t="shared" ca="1" si="1"/>
        <v/>
      </c>
      <c r="P48" s="40" t="str">
        <f t="shared" ca="1" si="2"/>
        <v/>
      </c>
      <c r="Q48" s="89">
        <v>0</v>
      </c>
      <c r="R48" s="89">
        <v>0</v>
      </c>
      <c r="S48" s="89">
        <v>0</v>
      </c>
      <c r="T48" s="90"/>
      <c r="U48" s="89"/>
      <c r="V48" s="3" t="s">
        <v>245</v>
      </c>
      <c r="W48" s="14"/>
      <c r="X48" s="14"/>
      <c r="Y48" s="93"/>
      <c r="Z48" s="93"/>
      <c r="AA48" s="3" t="s">
        <v>245</v>
      </c>
      <c r="AB48" s="3"/>
      <c r="AC48" s="3" t="s">
        <v>245</v>
      </c>
      <c r="AD48" s="4"/>
      <c r="AE48" s="3" t="s">
        <v>314</v>
      </c>
      <c r="AF48" s="4"/>
      <c r="AG48" s="98" t="b">
        <f t="shared" ca="1" si="3"/>
        <v>0</v>
      </c>
      <c r="AH48" s="66" t="str">
        <f t="shared" ca="1" si="10"/>
        <v/>
      </c>
      <c r="AI48" s="66" t="str">
        <f t="shared" ca="1" si="11"/>
        <v/>
      </c>
      <c r="AJ48" s="66" t="str">
        <f t="shared" ca="1" si="4"/>
        <v/>
      </c>
      <c r="AK48" s="66" t="str">
        <f t="shared" ca="1" si="5"/>
        <v/>
      </c>
      <c r="AL48" s="66">
        <f t="shared" ca="1" si="6"/>
        <v>0</v>
      </c>
      <c r="AM48" s="66" t="str">
        <f t="shared" ca="1" si="7"/>
        <v/>
      </c>
      <c r="AN48" s="66" t="str">
        <f t="shared" ca="1" si="8"/>
        <v/>
      </c>
      <c r="AO48" s="66" t="str">
        <f t="shared" ca="1" si="9"/>
        <v/>
      </c>
      <c r="AP48" s="66" t="e">
        <f ca="1">CHOOSE(AH48,FALSE,Data!DV$2,Data!DV$2,Data!DV$2,FALSE,FALSE,Data!DV$2)</f>
        <v>#VALUE!</v>
      </c>
      <c r="AQ48" s="66" t="e">
        <f ca="1">CHOOSE(AH48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8" s="66" t="e">
        <f ca="1">IF(C48="Gestion","1151000",IF(AND(C48="Émissions_Fugitives",D48="Optimisation réfrigération"),"1151210",IF(AND(C48="Conversion",D48="Bioénergies"),"1151240",IF(AND(C48="Conversion",D48="Solaires"),"1151202",INDEX(OFFSET(Type_Entreprise,,2,,),MATCH(#REF!,Type_Entreprise,0))))))</f>
        <v>#REF!</v>
      </c>
    </row>
    <row r="49" spans="1:44" ht="15.75" customHeight="1" thickBot="1" x14ac:dyDescent="0.25">
      <c r="A49" s="5"/>
      <c r="B49" s="6"/>
      <c r="C49" s="4" t="s">
        <v>245</v>
      </c>
      <c r="D49" s="4"/>
      <c r="E49" s="4" t="s">
        <v>245</v>
      </c>
      <c r="F49" s="4"/>
      <c r="G49" s="36" t="str">
        <f t="shared" ca="1" si="0"/>
        <v/>
      </c>
      <c r="H49" s="84"/>
      <c r="I49" s="39"/>
      <c r="J49" s="6"/>
      <c r="K49" s="58"/>
      <c r="L49" s="39"/>
      <c r="M49" s="56"/>
      <c r="N49" s="87"/>
      <c r="O49" s="37" t="str">
        <f t="shared" ca="1" si="1"/>
        <v/>
      </c>
      <c r="P49" s="40" t="str">
        <f t="shared" ca="1" si="2"/>
        <v/>
      </c>
      <c r="Q49" s="91">
        <v>0</v>
      </c>
      <c r="R49" s="91">
        <v>0</v>
      </c>
      <c r="S49" s="89">
        <v>0</v>
      </c>
      <c r="T49" s="90"/>
      <c r="U49" s="91"/>
      <c r="V49" s="3" t="s">
        <v>245</v>
      </c>
      <c r="W49" s="15"/>
      <c r="X49" s="15"/>
      <c r="Y49" s="94"/>
      <c r="Z49" s="94"/>
      <c r="AA49" s="3" t="s">
        <v>245</v>
      </c>
      <c r="AB49" s="5"/>
      <c r="AC49" s="3" t="s">
        <v>245</v>
      </c>
      <c r="AD49" s="6"/>
      <c r="AE49" s="3" t="s">
        <v>314</v>
      </c>
      <c r="AF49" s="6"/>
      <c r="AG49" s="98" t="b">
        <f t="shared" ca="1" si="3"/>
        <v>0</v>
      </c>
      <c r="AH49" s="66" t="str">
        <f t="shared" ca="1" si="10"/>
        <v/>
      </c>
      <c r="AI49" s="66" t="str">
        <f t="shared" ca="1" si="11"/>
        <v/>
      </c>
      <c r="AJ49" s="66" t="str">
        <f t="shared" ca="1" si="4"/>
        <v/>
      </c>
      <c r="AK49" s="66" t="str">
        <f t="shared" ca="1" si="5"/>
        <v/>
      </c>
      <c r="AL49" s="66">
        <f t="shared" ca="1" si="6"/>
        <v>0</v>
      </c>
      <c r="AM49" s="66" t="str">
        <f t="shared" ca="1" si="7"/>
        <v/>
      </c>
      <c r="AN49" s="66" t="str">
        <f t="shared" ca="1" si="8"/>
        <v/>
      </c>
      <c r="AO49" s="66" t="str">
        <f t="shared" ca="1" si="9"/>
        <v/>
      </c>
      <c r="AP49" s="66" t="e">
        <f ca="1">CHOOSE(AH49,FALSE,Data!DV$2,Data!DV$2,Data!DV$2,FALSE,FALSE,Data!DV$2)</f>
        <v>#VALUE!</v>
      </c>
      <c r="AQ49" s="66" t="e">
        <f ca="1">CHOOSE(AH49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R49" s="66" t="e">
        <f ca="1">IF(C49="Gestion","1151000",IF(AND(C49="Émissions_Fugitives",D49="Optimisation réfrigération"),"1151210",IF(AND(C49="Conversion",D49="Bioénergies"),"1151240",IF(AND(C49="Conversion",D49="Solaires"),"1151202",INDEX(OFFSET(Type_Entreprise,,2,,),MATCH(#REF!,Type_Entreprise,0))))))</f>
        <v>#REF!</v>
      </c>
    </row>
    <row r="50" spans="1:44" ht="13.5" thickTop="1" x14ac:dyDescent="0.2">
      <c r="A50" s="30"/>
      <c r="B50" s="11"/>
      <c r="C50" s="10" t="s">
        <v>420</v>
      </c>
      <c r="D50" s="30"/>
      <c r="E50" s="30"/>
      <c r="F50" s="11"/>
      <c r="G50" s="11"/>
      <c r="H50" s="11"/>
      <c r="I50" s="71"/>
      <c r="J50" s="71"/>
      <c r="K50" s="71"/>
      <c r="L50" s="71"/>
      <c r="M50" s="72"/>
      <c r="N50" s="88">
        <f t="shared" ref="N50:U50" si="12">SUM(N16:N49)</f>
        <v>0</v>
      </c>
      <c r="O50" s="41">
        <f t="shared" ca="1" si="12"/>
        <v>0</v>
      </c>
      <c r="P50" s="42">
        <f t="shared" ca="1" si="12"/>
        <v>0</v>
      </c>
      <c r="Q50" s="92">
        <f t="shared" si="12"/>
        <v>0</v>
      </c>
      <c r="R50" s="92">
        <f t="shared" si="12"/>
        <v>0</v>
      </c>
      <c r="S50" s="92">
        <f t="shared" si="12"/>
        <v>0</v>
      </c>
      <c r="T50" s="92">
        <f t="shared" si="12"/>
        <v>0</v>
      </c>
      <c r="U50" s="92">
        <f t="shared" si="12"/>
        <v>0</v>
      </c>
      <c r="V50" s="11"/>
      <c r="W50" s="11"/>
      <c r="X50" s="11"/>
      <c r="Y50" s="11"/>
      <c r="Z50" s="11"/>
      <c r="AA50" s="12"/>
      <c r="AB50" s="12"/>
      <c r="AC50" s="12"/>
      <c r="AD50" s="11"/>
      <c r="AE50" s="13"/>
      <c r="AF50" s="11"/>
      <c r="AG50" s="99"/>
    </row>
    <row r="51" spans="1:44" x14ac:dyDescent="0.2">
      <c r="A51" s="47"/>
      <c r="B51" s="48"/>
      <c r="C51" s="47"/>
      <c r="D51" s="47"/>
      <c r="E51" s="47"/>
      <c r="F51" s="48"/>
      <c r="G51" s="48"/>
      <c r="H51" s="48"/>
      <c r="I51" s="73"/>
      <c r="J51" s="73"/>
      <c r="K51" s="73"/>
      <c r="L51" s="73"/>
      <c r="M51" s="49"/>
      <c r="N51" s="49"/>
      <c r="O51" s="50"/>
      <c r="P51" s="51"/>
      <c r="Q51" s="49"/>
      <c r="R51" s="49"/>
      <c r="S51" s="49"/>
      <c r="T51" s="49"/>
      <c r="U51" s="49"/>
      <c r="V51" s="48"/>
      <c r="W51" s="48"/>
      <c r="X51" s="48"/>
      <c r="Y51" s="48"/>
      <c r="Z51" s="48"/>
      <c r="AA51" s="52"/>
      <c r="AB51" s="52"/>
      <c r="AC51" s="52"/>
      <c r="AD51" s="48"/>
      <c r="AE51" s="53"/>
      <c r="AF51" s="48"/>
      <c r="AG51" s="48"/>
    </row>
    <row r="52" spans="1:44" x14ac:dyDescent="0.2">
      <c r="A52" s="59" t="s">
        <v>995</v>
      </c>
      <c r="R52" s="59" t="s">
        <v>996</v>
      </c>
      <c r="V52" s="59" t="s">
        <v>997</v>
      </c>
      <c r="AC52" s="2"/>
      <c r="AD52" s="2"/>
      <c r="AE52" s="2"/>
      <c r="AF52" s="114" t="s">
        <v>998</v>
      </c>
      <c r="AG52" s="114"/>
    </row>
    <row r="53" spans="1:44" x14ac:dyDescent="0.2">
      <c r="A53" s="59" t="s">
        <v>999</v>
      </c>
      <c r="R53" s="59" t="s">
        <v>1000</v>
      </c>
      <c r="V53" s="59" t="s">
        <v>1001</v>
      </c>
      <c r="AC53" s="2"/>
      <c r="AD53" s="2"/>
      <c r="AE53" s="2"/>
      <c r="AF53" s="2"/>
      <c r="AG53" s="2"/>
    </row>
    <row r="54" spans="1:44" x14ac:dyDescent="0.2">
      <c r="A54" s="59" t="s">
        <v>1002</v>
      </c>
      <c r="R54" s="59" t="s">
        <v>1003</v>
      </c>
      <c r="V54" s="59" t="s">
        <v>1004</v>
      </c>
      <c r="W54" s="2"/>
      <c r="X54" s="2"/>
      <c r="Y54" s="2"/>
      <c r="Z54" s="2"/>
      <c r="AA54" s="2"/>
      <c r="AB54" s="2"/>
      <c r="AC54" s="59"/>
      <c r="AD54" s="2"/>
      <c r="AE54" s="2"/>
      <c r="AF54" s="2"/>
      <c r="AG54" s="2"/>
    </row>
    <row r="55" spans="1:44" x14ac:dyDescent="0.2">
      <c r="A55" s="59" t="s">
        <v>1005</v>
      </c>
      <c r="R55" s="59" t="s">
        <v>1006</v>
      </c>
      <c r="V55" s="59" t="s">
        <v>1007</v>
      </c>
      <c r="W55" s="2"/>
      <c r="X55" s="2"/>
      <c r="Y55" s="2"/>
      <c r="Z55" s="2"/>
      <c r="AA55" s="2"/>
      <c r="AB55" s="2"/>
      <c r="AC55" s="59"/>
      <c r="AD55" s="2"/>
      <c r="AE55" s="2"/>
      <c r="AF55" s="2"/>
      <c r="AG55" s="2"/>
    </row>
    <row r="56" spans="1:44" x14ac:dyDescent="0.2">
      <c r="A56" s="59" t="s">
        <v>1008</v>
      </c>
      <c r="V56" s="59" t="s">
        <v>1009</v>
      </c>
      <c r="W56" s="2"/>
      <c r="X56" s="2"/>
      <c r="Y56" s="2"/>
      <c r="Z56" s="2"/>
      <c r="AA56" s="2"/>
      <c r="AB56" s="2"/>
      <c r="AC56" s="59"/>
      <c r="AD56" s="2"/>
      <c r="AE56" s="2"/>
      <c r="AF56" s="2"/>
      <c r="AG56" s="2"/>
    </row>
    <row r="57" spans="1:44" x14ac:dyDescent="0.2">
      <c r="A57" s="59" t="s">
        <v>1010</v>
      </c>
      <c r="B57" s="2"/>
      <c r="F57" s="2"/>
      <c r="G57" s="2"/>
      <c r="H57" s="2"/>
      <c r="V57" s="59" t="s">
        <v>1011</v>
      </c>
      <c r="AB57" s="140"/>
      <c r="AC57" s="140"/>
      <c r="AD57" s="140"/>
    </row>
    <row r="58" spans="1:44" x14ac:dyDescent="0.2">
      <c r="A58" s="59" t="s">
        <v>1012</v>
      </c>
      <c r="AB58" s="140"/>
      <c r="AC58" s="140"/>
      <c r="AD58" s="140"/>
    </row>
    <row r="59" spans="1:44" x14ac:dyDescent="0.2">
      <c r="J59" s="59"/>
      <c r="AB59" s="140"/>
      <c r="AC59" s="140"/>
      <c r="AD59" s="140"/>
    </row>
  </sheetData>
  <sheetProtection password="E71A" sheet="1" objects="1" scenarios="1" formatCells="0" formatColumns="0" formatRows="0" sort="0" autoFilter="0" pivotTables="0"/>
  <mergeCells count="40">
    <mergeCell ref="P13:P14"/>
    <mergeCell ref="Q13:S13"/>
    <mergeCell ref="L13:L14"/>
    <mergeCell ref="A12:A14"/>
    <mergeCell ref="B12:B14"/>
    <mergeCell ref="F13:F14"/>
    <mergeCell ref="I13:I14"/>
    <mergeCell ref="F12:K12"/>
    <mergeCell ref="H13:H14"/>
    <mergeCell ref="K13:K14"/>
    <mergeCell ref="AC11:AF11"/>
    <mergeCell ref="Q12:T12"/>
    <mergeCell ref="AF12:AF14"/>
    <mergeCell ref="AB12:AB14"/>
    <mergeCell ref="AD12:AD14"/>
    <mergeCell ref="Z12:Z14"/>
    <mergeCell ref="AC12:AC14"/>
    <mergeCell ref="W13:W14"/>
    <mergeCell ref="U12:V12"/>
    <mergeCell ref="T13:T14"/>
    <mergeCell ref="U13:U14"/>
    <mergeCell ref="V13:V14"/>
    <mergeCell ref="AA12:AA14"/>
    <mergeCell ref="X13:X14"/>
    <mergeCell ref="AB8:AF8"/>
    <mergeCell ref="AB9:AC9"/>
    <mergeCell ref="E12:E14"/>
    <mergeCell ref="D12:D14"/>
    <mergeCell ref="J13:J14"/>
    <mergeCell ref="O13:O14"/>
    <mergeCell ref="N13:N14"/>
    <mergeCell ref="G13:G14"/>
    <mergeCell ref="W12:X12"/>
    <mergeCell ref="L12:P12"/>
    <mergeCell ref="AE12:AE14"/>
    <mergeCell ref="M13:M14"/>
    <mergeCell ref="Y12:Y14"/>
    <mergeCell ref="C8:G8"/>
    <mergeCell ref="C9:D9"/>
    <mergeCell ref="C12:C14"/>
  </mergeCells>
  <phoneticPr fontId="8" type="noConversion"/>
  <conditionalFormatting sqref="P16:P49">
    <cfRule type="expression" dxfId="20" priority="1" stopIfTrue="1">
      <formula>IF(AND(C16="OPTER",P16&lt;INDEX(OFFSET(INDIRECT($C16),,1,,),MATCH(D16,INDIRECT($C16),0))),TRUE,FALSE)</formula>
    </cfRule>
  </conditionalFormatting>
  <conditionalFormatting sqref="E16:E49">
    <cfRule type="expression" dxfId="19" priority="2" stopIfTrue="1">
      <formula>IF(AND(L16="",E16="Choisir…"),TRUE,FALSE)</formula>
    </cfRule>
    <cfRule type="expression" dxfId="18" priority="3" stopIfTrue="1">
      <formula>IF(AND(L16&lt;&gt;"",F16="",E16="Choisir…"),TRUE,FALSE)</formula>
    </cfRule>
  </conditionalFormatting>
  <conditionalFormatting sqref="F16:F49">
    <cfRule type="expression" dxfId="17" priority="4" stopIfTrue="1">
      <formula>IF(AND(L16="",F16=""),TRUE,FALSE)</formula>
    </cfRule>
    <cfRule type="expression" dxfId="16" priority="5" stopIfTrue="1">
      <formula>IF(AND(L16&lt;&gt;"",F16=""),TRUE,FALSE)</formula>
    </cfRule>
  </conditionalFormatting>
  <conditionalFormatting sqref="H16:H49">
    <cfRule type="expression" dxfId="15" priority="6" stopIfTrue="1">
      <formula>IF(AND(E16="Énergie",H16="",IF(F16&lt;&gt;"",INDEX(OFFSET(Énergie,,8,,),MATCH(F16,Énergie,0))&lt;&gt;"",FALSE)),TRUE,FALSE)</formula>
    </cfRule>
    <cfRule type="expression" dxfId="14" priority="7" stopIfTrue="1">
      <formula>IF(AND(E16="Énergie",H16&lt;&gt;"",IF(F16&lt;&gt;"",INDEX(OFFSET(Énergie,,8,,),MATCH(F16,Énergie,0))&lt;&gt; "",FALSE)),TRUE,FALSE)</formula>
    </cfRule>
    <cfRule type="expression" dxfId="13" priority="8" stopIfTrue="1">
      <formula>IF(OR(E16&lt;&gt;"Énergie",AND(E16="Énergie", IF(F16&lt;&gt;"",INDEX(OFFSET(Énergie,,8,,),MATCH(F16,Énergie,0))&lt;&gt; "",FALSE))),TRUE,FALSE)</formula>
    </cfRule>
  </conditionalFormatting>
  <conditionalFormatting sqref="AA16:AA49 V16:V49 C16:C49">
    <cfRule type="cellIs" dxfId="12" priority="9" stopIfTrue="1" operator="equal">
      <formula>"Choisir…"</formula>
    </cfRule>
  </conditionalFormatting>
  <conditionalFormatting sqref="AC16:AC49">
    <cfRule type="cellIs" dxfId="11" priority="10" stopIfTrue="1" operator="equal">
      <formula>"choisir…"</formula>
    </cfRule>
  </conditionalFormatting>
  <conditionalFormatting sqref="D16:D49">
    <cfRule type="cellIs" dxfId="10" priority="11" stopIfTrue="1" operator="equal">
      <formula>""</formula>
    </cfRule>
  </conditionalFormatting>
  <conditionalFormatting sqref="AE16:AE49">
    <cfRule type="cellIs" dxfId="9" priority="12" stopIfTrue="1" operator="equal">
      <formula>"Non"</formula>
    </cfRule>
  </conditionalFormatting>
  <dataValidations count="8">
    <dataValidation type="list" allowBlank="1" showInputMessage="1" showErrorMessage="1" sqref="V16:V49" xr:uid="{00000000-0002-0000-0500-000000000000}">
      <formula1>Fin_Autre</formula1>
    </dataValidation>
    <dataValidation type="list" allowBlank="1" showInputMessage="1" showErrorMessage="1" sqref="AE16:AE49" xr:uid="{00000000-0002-0000-0500-000001000000}">
      <formula1>Aide_dem</formula1>
    </dataValidation>
    <dataValidation type="list" allowBlank="1" showInputMessage="1" showErrorMessage="1" sqref="C16:C49" xr:uid="{00000000-0002-0000-0500-000002000000}">
      <formula1>Volet</formula1>
    </dataValidation>
    <dataValidation type="list" allowBlank="1" showInputMessage="1" showErrorMessage="1" sqref="E16:E49" xr:uid="{00000000-0002-0000-0500-000003000000}">
      <formula1>Type_emission</formula1>
    </dataValidation>
    <dataValidation type="list" allowBlank="1" showInputMessage="1" showErrorMessage="1" sqref="AA16:AA49" xr:uid="{00000000-0002-0000-0500-000004000000}">
      <formula1>Recom</formula1>
    </dataValidation>
    <dataValidation type="list" allowBlank="1" showInputMessage="1" showErrorMessage="1" sqref="AC16:AC49" xr:uid="{00000000-0002-0000-0500-000005000000}">
      <formula1>Action</formula1>
    </dataValidation>
    <dataValidation type="list" allowBlank="1" showInputMessage="1" showErrorMessage="1" sqref="D16:D49" xr:uid="{00000000-0002-0000-0500-000006000000}">
      <formula1>INDIRECT(C16)</formula1>
    </dataValidation>
    <dataValidation type="list" allowBlank="1" showInputMessage="1" showErrorMessage="1" sqref="F16:F49" xr:uid="{00000000-0002-0000-0500-000007000000}">
      <formula1>IF(E16="Énergie",Énergie,IF(E16="Fugitive",PRP,""))</formula1>
    </dataValidation>
  </dataValidations>
  <printOptions horizontalCentered="1"/>
  <pageMargins left="0.19685039370078741" right="0.19685039370078741" top="0.39370078740157483" bottom="0.39370078740157483" header="0.19685039370078741" footer="0.15748031496062992"/>
  <pageSetup paperSize="5" scale="55" orientation="landscape" r:id="rId1"/>
  <headerFooter alignWithMargins="0">
    <oddFooter>&amp;LTransition énergétique Québec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pageSetUpPr autoPageBreaks="0" fitToPage="1"/>
  </sheetPr>
  <dimension ref="A2:AP59"/>
  <sheetViews>
    <sheetView showGridLines="0" showRowColHeaders="0" showOutlineSymbols="0" zoomScaleNormal="75" workbookViewId="0">
      <selection activeCell="M6" sqref="M6"/>
    </sheetView>
  </sheetViews>
  <sheetFormatPr baseColWidth="10" defaultColWidth="11.42578125" defaultRowHeight="12.75" x14ac:dyDescent="0.2"/>
  <cols>
    <col min="1" max="1" width="8.5703125" customWidth="1"/>
    <col min="2" max="2" width="28.5703125" customWidth="1"/>
    <col min="3" max="3" width="10.5703125" customWidth="1"/>
    <col min="4" max="4" width="14" customWidth="1"/>
    <col min="5" max="5" width="7.5703125" customWidth="1"/>
    <col min="6" max="6" width="17.140625" customWidth="1"/>
    <col min="7" max="8" width="6" customWidth="1"/>
    <col min="9" max="9" width="8" customWidth="1"/>
    <col min="10" max="10" width="10.85546875" customWidth="1"/>
    <col min="11" max="11" width="9.5703125" customWidth="1"/>
    <col min="12" max="12" width="9.42578125" customWidth="1"/>
    <col min="13" max="15" width="9" customWidth="1"/>
    <col min="16" max="16" width="10" customWidth="1"/>
    <col min="17" max="19" width="10.42578125" customWidth="1"/>
    <col min="20" max="20" width="9.85546875" customWidth="1"/>
    <col min="21" max="21" width="10" customWidth="1"/>
    <col min="22" max="22" width="7.85546875" customWidth="1"/>
    <col min="23" max="23" width="6.85546875" customWidth="1"/>
    <col min="24" max="24" width="6.42578125" customWidth="1"/>
    <col min="25" max="25" width="5.42578125" customWidth="1"/>
    <col min="26" max="26" width="4.5703125" customWidth="1"/>
    <col min="27" max="27" width="24.5703125" customWidth="1"/>
    <col min="28" max="31" width="9.5703125" customWidth="1"/>
    <col min="32" max="32" width="7.85546875" style="66" hidden="1" customWidth="1"/>
    <col min="33" max="40" width="11.42578125" style="66" hidden="1" customWidth="1"/>
    <col min="41" max="42" width="11.42578125" style="66" customWidth="1"/>
  </cols>
  <sheetData>
    <row r="2" spans="1:42" ht="18.95" customHeight="1" x14ac:dyDescent="0.2"/>
    <row r="3" spans="1:42" ht="20.25" customHeight="1" x14ac:dyDescent="0.2"/>
    <row r="4" spans="1:42" ht="12.75" customHeight="1" x14ac:dyDescent="0.2"/>
    <row r="5" spans="1:42" ht="15.75" x14ac:dyDescent="0.25">
      <c r="A5" s="7"/>
    </row>
    <row r="6" spans="1:42" ht="15.75" x14ac:dyDescent="0.25">
      <c r="A6" s="7"/>
    </row>
    <row r="7" spans="1:42" ht="15.75" x14ac:dyDescent="0.25">
      <c r="A7" s="7"/>
      <c r="U7" s="113"/>
      <c r="AA7" s="140"/>
      <c r="AB7" s="140"/>
      <c r="AC7" s="140"/>
    </row>
    <row r="8" spans="1:42" x14ac:dyDescent="0.2">
      <c r="A8" s="23"/>
      <c r="B8" s="114" t="s">
        <v>925</v>
      </c>
      <c r="C8" s="187" t="e">
        <f>IF('2. Plan d''implantation'!C8="","",'2. Plan d''implantation'!C8)</f>
        <v>#REF!</v>
      </c>
      <c r="D8" s="187"/>
      <c r="E8" s="187"/>
      <c r="F8" s="187"/>
      <c r="G8" s="187"/>
      <c r="H8" s="187"/>
      <c r="Z8" s="114" t="s">
        <v>926</v>
      </c>
      <c r="AA8" s="154" t="e">
        <f>IF('2. Plan d''implantation'!AB8="","",'2. Plan d''implantation'!AB8)</f>
        <v>#REF!</v>
      </c>
      <c r="AB8" s="154"/>
      <c r="AC8" s="154"/>
      <c r="AD8" s="154"/>
      <c r="AE8" s="154"/>
    </row>
    <row r="9" spans="1:42" x14ac:dyDescent="0.2">
      <c r="A9" s="23"/>
      <c r="B9" s="114" t="s">
        <v>927</v>
      </c>
      <c r="C9" s="188" t="str">
        <f>IF('2. Plan d''implantation'!C9="","",'2. Plan d''implantation'!C9)</f>
        <v/>
      </c>
      <c r="D9" s="188"/>
      <c r="Z9" s="114" t="s">
        <v>928</v>
      </c>
      <c r="AA9" s="155"/>
      <c r="AB9" s="155"/>
      <c r="AC9" s="59"/>
      <c r="AD9" s="59"/>
    </row>
    <row r="10" spans="1:42" x14ac:dyDescent="0.2">
      <c r="G10" s="113"/>
      <c r="H10" s="113"/>
      <c r="M10" s="59"/>
      <c r="N10" s="59"/>
      <c r="O10" s="59"/>
      <c r="AA10" s="140"/>
      <c r="AB10" s="61"/>
      <c r="AC10" s="140"/>
    </row>
    <row r="11" spans="1:42" s="23" customFormat="1" ht="21" customHeight="1" x14ac:dyDescent="0.2">
      <c r="A11" s="44"/>
      <c r="B11" s="45"/>
      <c r="C11" s="43" t="s">
        <v>1013</v>
      </c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190" t="s">
        <v>930</v>
      </c>
      <c r="AC11" s="173"/>
      <c r="AD11" s="173"/>
      <c r="AE11" s="174"/>
      <c r="AF11" s="67" t="b">
        <v>1</v>
      </c>
      <c r="AG11" s="67" t="b">
        <v>1</v>
      </c>
      <c r="AH11" s="67"/>
      <c r="AI11" s="67"/>
      <c r="AJ11" s="67"/>
      <c r="AK11" s="67"/>
      <c r="AL11" s="67"/>
      <c r="AM11" s="67"/>
      <c r="AN11" s="67"/>
      <c r="AO11" s="67"/>
      <c r="AP11" s="67"/>
    </row>
    <row r="12" spans="1:42" s="23" customFormat="1" ht="35.25" customHeight="1" x14ac:dyDescent="0.2">
      <c r="A12" s="156" t="s">
        <v>931</v>
      </c>
      <c r="B12" s="159" t="s">
        <v>932</v>
      </c>
      <c r="C12" s="159" t="s">
        <v>181</v>
      </c>
      <c r="D12" s="159" t="s">
        <v>183</v>
      </c>
      <c r="E12" s="156" t="s">
        <v>933</v>
      </c>
      <c r="F12" s="179" t="s">
        <v>934</v>
      </c>
      <c r="G12" s="185"/>
      <c r="H12" s="185"/>
      <c r="I12" s="185"/>
      <c r="J12" s="185"/>
      <c r="K12" s="186"/>
      <c r="L12" s="165" t="s">
        <v>935</v>
      </c>
      <c r="M12" s="165"/>
      <c r="N12" s="165"/>
      <c r="O12" s="165"/>
      <c r="P12" s="164"/>
      <c r="Q12" s="163" t="s">
        <v>936</v>
      </c>
      <c r="R12" s="165"/>
      <c r="S12" s="165"/>
      <c r="T12" s="164"/>
      <c r="U12" s="179" t="s">
        <v>937</v>
      </c>
      <c r="V12" s="180"/>
      <c r="W12" s="163" t="s">
        <v>938</v>
      </c>
      <c r="X12" s="164"/>
      <c r="Y12" s="166" t="s">
        <v>939</v>
      </c>
      <c r="Z12" s="166" t="s">
        <v>940</v>
      </c>
      <c r="AA12" s="159" t="s">
        <v>942</v>
      </c>
      <c r="AB12" s="163" t="s">
        <v>1014</v>
      </c>
      <c r="AC12" s="164"/>
      <c r="AD12" s="179" t="s">
        <v>1015</v>
      </c>
      <c r="AE12" s="189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s="23" customFormat="1" ht="12.75" customHeight="1" x14ac:dyDescent="0.2">
      <c r="A13" s="182"/>
      <c r="B13" s="183"/>
      <c r="C13" s="157"/>
      <c r="D13" s="157"/>
      <c r="E13" s="157"/>
      <c r="F13" s="184" t="s">
        <v>947</v>
      </c>
      <c r="G13" s="161" t="s">
        <v>759</v>
      </c>
      <c r="H13" s="156" t="s">
        <v>948</v>
      </c>
      <c r="I13" s="184" t="s">
        <v>949</v>
      </c>
      <c r="J13" s="156" t="s">
        <v>950</v>
      </c>
      <c r="K13" s="159" t="s">
        <v>1016</v>
      </c>
      <c r="L13" s="159" t="s">
        <v>949</v>
      </c>
      <c r="M13" s="159" t="s">
        <v>952</v>
      </c>
      <c r="N13" s="159" t="s">
        <v>953</v>
      </c>
      <c r="O13" s="159" t="s">
        <v>954</v>
      </c>
      <c r="P13" s="159" t="s">
        <v>955</v>
      </c>
      <c r="Q13" s="163" t="s">
        <v>956</v>
      </c>
      <c r="R13" s="165"/>
      <c r="S13" s="164"/>
      <c r="T13" s="159" t="s">
        <v>957</v>
      </c>
      <c r="U13" s="159" t="s">
        <v>958</v>
      </c>
      <c r="V13" s="156" t="s">
        <v>959</v>
      </c>
      <c r="W13" s="156" t="s">
        <v>960</v>
      </c>
      <c r="X13" s="156" t="s">
        <v>961</v>
      </c>
      <c r="Y13" s="169"/>
      <c r="Z13" s="175"/>
      <c r="AA13" s="157"/>
      <c r="AB13" s="159" t="s">
        <v>949</v>
      </c>
      <c r="AC13" s="156" t="s">
        <v>761</v>
      </c>
      <c r="AD13" s="156" t="s">
        <v>949</v>
      </c>
      <c r="AE13" s="156" t="s">
        <v>1017</v>
      </c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</row>
    <row r="14" spans="1:42" s="23" customFormat="1" ht="21.75" customHeight="1" x14ac:dyDescent="0.2">
      <c r="A14" s="160"/>
      <c r="B14" s="181"/>
      <c r="C14" s="158"/>
      <c r="D14" s="158"/>
      <c r="E14" s="158"/>
      <c r="F14" s="178"/>
      <c r="G14" s="162"/>
      <c r="H14" s="178"/>
      <c r="I14" s="160"/>
      <c r="J14" s="160"/>
      <c r="K14" s="158"/>
      <c r="L14" s="158"/>
      <c r="M14" s="158"/>
      <c r="N14" s="158"/>
      <c r="O14" s="158"/>
      <c r="P14" s="158"/>
      <c r="Q14" s="148" t="s">
        <v>962</v>
      </c>
      <c r="R14" s="148" t="s">
        <v>963</v>
      </c>
      <c r="S14" s="148" t="s">
        <v>964</v>
      </c>
      <c r="T14" s="181"/>
      <c r="U14" s="181"/>
      <c r="V14" s="160"/>
      <c r="W14" s="178"/>
      <c r="X14" s="178"/>
      <c r="Y14" s="170"/>
      <c r="Z14" s="176"/>
      <c r="AA14" s="158"/>
      <c r="AB14" s="158"/>
      <c r="AC14" s="178"/>
      <c r="AD14" s="178"/>
      <c r="AE14" s="178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</row>
    <row r="15" spans="1:42" s="23" customFormat="1" ht="21.75" hidden="1" customHeight="1" x14ac:dyDescent="0.2">
      <c r="A15" s="142" t="s">
        <v>965</v>
      </c>
      <c r="B15" s="149" t="s">
        <v>932</v>
      </c>
      <c r="C15" s="141" t="s">
        <v>181</v>
      </c>
      <c r="D15" s="141" t="s">
        <v>183</v>
      </c>
      <c r="E15" s="141" t="s">
        <v>966</v>
      </c>
      <c r="F15" s="148" t="s">
        <v>967</v>
      </c>
      <c r="G15" s="143" t="s">
        <v>968</v>
      </c>
      <c r="H15" s="143" t="s">
        <v>969</v>
      </c>
      <c r="I15" s="142" t="s">
        <v>970</v>
      </c>
      <c r="J15" s="142" t="s">
        <v>971</v>
      </c>
      <c r="K15" s="141" t="s">
        <v>972</v>
      </c>
      <c r="L15" s="141" t="s">
        <v>973</v>
      </c>
      <c r="M15" s="141" t="s">
        <v>974</v>
      </c>
      <c r="N15" s="141" t="s">
        <v>975</v>
      </c>
      <c r="O15" s="141" t="s">
        <v>590</v>
      </c>
      <c r="P15" s="141" t="s">
        <v>976</v>
      </c>
      <c r="Q15" s="148" t="s">
        <v>859</v>
      </c>
      <c r="R15" s="148" t="s">
        <v>860</v>
      </c>
      <c r="S15" s="148" t="s">
        <v>861</v>
      </c>
      <c r="T15" s="149" t="s">
        <v>977</v>
      </c>
      <c r="U15" s="149" t="s">
        <v>978</v>
      </c>
      <c r="V15" s="142" t="s">
        <v>979</v>
      </c>
      <c r="W15" s="148" t="s">
        <v>980</v>
      </c>
      <c r="X15" s="148" t="s">
        <v>981</v>
      </c>
      <c r="Y15" s="146" t="s">
        <v>200</v>
      </c>
      <c r="Z15" s="147" t="s">
        <v>982</v>
      </c>
      <c r="AA15" s="141" t="s">
        <v>942</v>
      </c>
      <c r="AB15" s="141" t="s">
        <v>1018</v>
      </c>
      <c r="AC15" s="148" t="s">
        <v>1019</v>
      </c>
      <c r="AD15" s="148" t="s">
        <v>1020</v>
      </c>
      <c r="AE15" s="148" t="s">
        <v>1021</v>
      </c>
      <c r="AF15" s="67" t="s">
        <v>820</v>
      </c>
      <c r="AG15" s="67" t="s">
        <v>821</v>
      </c>
      <c r="AH15" s="67" t="s">
        <v>989</v>
      </c>
      <c r="AI15" s="67" t="s">
        <v>990</v>
      </c>
      <c r="AJ15" s="67" t="s">
        <v>991</v>
      </c>
      <c r="AK15" s="67" t="s">
        <v>992</v>
      </c>
      <c r="AL15" t="s">
        <v>693</v>
      </c>
      <c r="AM15" t="s">
        <v>179</v>
      </c>
      <c r="AN15" t="s">
        <v>180</v>
      </c>
    </row>
    <row r="16" spans="1:42" ht="15.75" customHeight="1" x14ac:dyDescent="0.2">
      <c r="A16" s="3"/>
      <c r="B16" s="4"/>
      <c r="C16" s="4" t="s">
        <v>245</v>
      </c>
      <c r="D16" s="4"/>
      <c r="E16" s="4" t="s">
        <v>245</v>
      </c>
      <c r="F16" s="4"/>
      <c r="G16" s="36" t="str">
        <f t="shared" ref="G16:G49" ca="1" si="0">IF(F16="","",IF(OR($E16="choisir…",$E16="Aucun"),"",INDEX(OFFSET(INDIRECT($E16),,1),MATCH($F16,INDIRECT($E16),0))))</f>
        <v/>
      </c>
      <c r="H16" s="84"/>
      <c r="I16" s="38"/>
      <c r="J16" s="4"/>
      <c r="K16" s="57"/>
      <c r="L16" s="38"/>
      <c r="M16" s="55"/>
      <c r="N16" s="86"/>
      <c r="O16" s="37" t="str">
        <f t="shared" ref="O16:O49" ca="1" si="1">IF(L16="","",IF(OR(E16&lt;&gt;"Énergie",F16=""),0,INDEX(OFFSET(INDIRECT($E16),,2),MATCH($F16,INDIRECT($E16),0)))*L16/1000*IF(AND(E16="Énergie",F16&lt;&gt;""),IF(AND(INDEX(OFFSET(Énergie,,8,,),MATCH(F16,Énergie,0))=1,H16&lt;&gt;""),IF(H16=1,0,1-1.1676*H16),IF(AND(INDEX(OFFSET(Énergie,,8,,),MATCH(F16,Énergie,0))=2,H16&lt;&gt;""),1-H16,1)),1))</f>
        <v/>
      </c>
      <c r="P16" s="40" t="str">
        <f t="shared" ref="P16:P49" ca="1" si="2">IF(L16="","",IF(OR($E16="choisir…",$E16="Aucun",F16=""),0,INDEX(OFFSET(INDIRECT(IF($E16="fugitive","PRP",E16)),,3),MATCH($F16,INDIRECT(IF($E16="fugitive","PRP",E16)),0)))*L16/1000000*IF($E16="Fugitive",1000,1)*IF(AND(E16="Énergie",F16&lt;&gt;""),IF(AND(INDEX(OFFSET(Énergie,,8,,),MATCH(F16,Énergie,0))=1,H16&lt;&gt;""),IF(H16=1,0,1-1.1676*H16),IF(AND(INDEX(OFFSET(Énergie,,8,,),MATCH(F16,Énergie,0))=2,H16&lt;&gt;""),1-H16,1)),1))</f>
        <v/>
      </c>
      <c r="Q16" s="89">
        <v>0</v>
      </c>
      <c r="R16" s="89">
        <v>0</v>
      </c>
      <c r="S16" s="89">
        <v>0</v>
      </c>
      <c r="T16" s="90"/>
      <c r="U16" s="89"/>
      <c r="V16" s="3" t="s">
        <v>245</v>
      </c>
      <c r="W16" s="14"/>
      <c r="X16" s="14"/>
      <c r="Y16" s="93"/>
      <c r="Z16" s="93"/>
      <c r="AA16" s="3"/>
      <c r="AB16" s="38"/>
      <c r="AC16" s="40" t="str">
        <f t="shared" ref="AC16:AC49" ca="1" si="3">IF(AB16="","",IF(OR($E16="choisir…",$E16="Aucun"),0,INDEX(OFFSET(INDIRECT($E16),,3),MATCH($F16,INDIRECT($E16),0)))*AB16/1000000)</f>
        <v/>
      </c>
      <c r="AD16" s="37" t="str">
        <f>IF(AB16="","",L16-AB16)</f>
        <v/>
      </c>
      <c r="AE16" s="54" t="str">
        <f>IF(AB16="","",AD16/AB16)</f>
        <v/>
      </c>
      <c r="AF16" s="66" t="str">
        <f t="shared" ref="AF16:AF49" ca="1" si="4">IF(C16&lt;&gt;"Choisir…",INDEX(OFFSET(Volet,,-1,,),MATCH(C16,Volet,0)),"")</f>
        <v/>
      </c>
      <c r="AG16" s="66" t="str">
        <f ca="1">IF(C16&lt;&gt;"Choisir…",INDEX(OFFSET(INDIRECT(C16),,-1,,),MATCH(D16,INDIRECT(C16),0)),"")</f>
        <v/>
      </c>
      <c r="AH16" s="66" t="str">
        <f t="shared" ref="AH16:AH49" ca="1" si="5">IF(E16&lt;&gt;"Choisir…",INDEX(OFFSET(Type_emission,,-1,,),MATCH(E16,Type_emission,0)),"")</f>
        <v/>
      </c>
      <c r="AI16" s="66" t="str">
        <f t="shared" ref="AI16:AI49" ca="1" si="6">IF(F16="","",INDEX(OFFSET(IF(E16="Énergie",Énergie,IF(E16="Fugitive",PRP,"")),,-1,,),MATCH(F16,IF(E16="Énergie",Énergie,IF(E16="Fugitive",PRP,"")),0)))</f>
        <v/>
      </c>
      <c r="AJ16" s="66">
        <f t="shared" ref="AJ16:AJ49" ca="1" si="7">IF(AND(E16="Énergie",F16&lt;&gt;""),INDEX(OFFSET(Énergie,,22,,),MATCH(F16,Énergie,0)),0)*L16</f>
        <v>0</v>
      </c>
      <c r="AK16" s="66" t="str">
        <f t="shared" ref="AK16:AK49" ca="1" si="8">IF(V16&lt;&gt;"Choisir…",INDEX(OFFSET(Fin_Autre,,-1,,),MATCH(V16,Fin_Autre,0)),"")</f>
        <v/>
      </c>
      <c r="AL16" s="66" t="e">
        <f ca="1">CHOOSE(AF16,FALSE,Data!DV$2,IF(Data!DP$2="Transport",FALSE,Data!DV$2),IF(Data!DP$2="Transport",FALSE,Data!DV$2),FALSE,FALSE,Data!DV$2)</f>
        <v>#VALUE!</v>
      </c>
      <c r="AM16" s="66" t="e">
        <f ca="1">CHOOSE(AF16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16" s="66" t="e">
        <f ca="1">IF(C16="Innovation","1159400",IF(C16="Gestion","1151000",IF(C16="OPTER","1151210",IF(AND(C16="Connaissances",D16="Écoconduite"),"1157170",IF(AND(C16="Conversion",D16="Bioénergies"),"1151240",IF(AND(C16="Conversion",D16="Solaires"),"1151202",INDEX(OFFSET(Type_Entreprise,,2,,),MATCH(#REF!,Type_Entreprise,0))))))))</f>
        <v>#REF!</v>
      </c>
      <c r="AO16"/>
      <c r="AP16"/>
    </row>
    <row r="17" spans="1:42" ht="15.75" customHeight="1" x14ac:dyDescent="0.2">
      <c r="A17" s="3"/>
      <c r="B17" s="4"/>
      <c r="C17" s="4" t="s">
        <v>245</v>
      </c>
      <c r="D17" s="4"/>
      <c r="E17" s="4" t="s">
        <v>245</v>
      </c>
      <c r="F17" s="4"/>
      <c r="G17" s="36" t="str">
        <f t="shared" ca="1" si="0"/>
        <v/>
      </c>
      <c r="H17" s="84"/>
      <c r="I17" s="38"/>
      <c r="J17" s="4"/>
      <c r="K17" s="57"/>
      <c r="L17" s="38"/>
      <c r="M17" s="55"/>
      <c r="N17" s="86"/>
      <c r="O17" s="37" t="str">
        <f t="shared" ca="1" si="1"/>
        <v/>
      </c>
      <c r="P17" s="40" t="str">
        <f t="shared" ca="1" si="2"/>
        <v/>
      </c>
      <c r="Q17" s="89">
        <v>0</v>
      </c>
      <c r="R17" s="89">
        <v>0</v>
      </c>
      <c r="S17" s="89">
        <v>0</v>
      </c>
      <c r="T17" s="90"/>
      <c r="U17" s="89"/>
      <c r="V17" s="3" t="s">
        <v>245</v>
      </c>
      <c r="W17" s="14"/>
      <c r="X17" s="14"/>
      <c r="Y17" s="93"/>
      <c r="Z17" s="93"/>
      <c r="AA17" s="3"/>
      <c r="AB17" s="38"/>
      <c r="AC17" s="40" t="str">
        <f t="shared" ca="1" si="3"/>
        <v/>
      </c>
      <c r="AD17" s="37" t="str">
        <f t="shared" ref="AD17:AD49" si="9">IF(AB17="","",AB17-L17)</f>
        <v/>
      </c>
      <c r="AE17" s="54" t="str">
        <f t="shared" ref="AE17:AE49" si="10">IF(AB17="","",AD17/AB17)</f>
        <v/>
      </c>
      <c r="AF17" s="66" t="str">
        <f t="shared" ca="1" si="4"/>
        <v/>
      </c>
      <c r="AG17" s="66" t="str">
        <f t="shared" ref="AG17:AG49" ca="1" si="11">IF(C17&lt;&gt;"Choisir…",INDEX(OFFSET(INDIRECT(C17),,-1,,),MATCH(D17,INDIRECT(C17),0)),"")</f>
        <v/>
      </c>
      <c r="AH17" s="66" t="str">
        <f t="shared" ca="1" si="5"/>
        <v/>
      </c>
      <c r="AI17" s="66" t="str">
        <f t="shared" ca="1" si="6"/>
        <v/>
      </c>
      <c r="AJ17" s="66">
        <f t="shared" ca="1" si="7"/>
        <v>0</v>
      </c>
      <c r="AK17" s="66" t="str">
        <f t="shared" ca="1" si="8"/>
        <v/>
      </c>
      <c r="AL17" s="66" t="e">
        <f ca="1">CHOOSE(AF17,FALSE,Data!DV$2,IF(Data!DP$2="Transport",FALSE,Data!DV$2),IF(Data!DP$2="Transport",FALSE,Data!DV$2),FALSE,FALSE,Data!DV$2)</f>
        <v>#VALUE!</v>
      </c>
      <c r="AM17" s="66" t="e">
        <f ca="1">CHOOSE(AF17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17" s="66" t="e">
        <f ca="1">IF(C17="Innovation","1159400",IF(C17="Gestion","1151000",IF(C17="OPTER","1151210",IF(AND(C17="Connaissances",D17="Écoconduite"),"1157170",IF(AND(C17="Conversion",D17="Bioénergies"),"1151240",IF(AND(C17="Conversion",D17="Solaires"),"1151202",INDEX(OFFSET(Type_Entreprise,,2,,),MATCH(#REF!,Type_Entreprise,0))))))))</f>
        <v>#REF!</v>
      </c>
      <c r="AO17"/>
      <c r="AP17"/>
    </row>
    <row r="18" spans="1:42" ht="15.75" customHeight="1" x14ac:dyDescent="0.2">
      <c r="A18" s="3"/>
      <c r="B18" s="4"/>
      <c r="C18" s="4" t="s">
        <v>245</v>
      </c>
      <c r="D18" s="4"/>
      <c r="E18" s="4" t="s">
        <v>245</v>
      </c>
      <c r="F18" s="4"/>
      <c r="G18" s="36" t="str">
        <f t="shared" ca="1" si="0"/>
        <v/>
      </c>
      <c r="H18" s="84"/>
      <c r="I18" s="38"/>
      <c r="J18" s="4"/>
      <c r="K18" s="57"/>
      <c r="L18" s="38"/>
      <c r="M18" s="55"/>
      <c r="N18" s="86"/>
      <c r="O18" s="37" t="str">
        <f t="shared" ca="1" si="1"/>
        <v/>
      </c>
      <c r="P18" s="40" t="str">
        <f t="shared" ca="1" si="2"/>
        <v/>
      </c>
      <c r="Q18" s="89">
        <v>0</v>
      </c>
      <c r="R18" s="89">
        <v>0</v>
      </c>
      <c r="S18" s="89">
        <v>0</v>
      </c>
      <c r="T18" s="90"/>
      <c r="U18" s="89"/>
      <c r="V18" s="3" t="s">
        <v>245</v>
      </c>
      <c r="W18" s="14"/>
      <c r="X18" s="14"/>
      <c r="Y18" s="93"/>
      <c r="Z18" s="93"/>
      <c r="AA18" s="3"/>
      <c r="AB18" s="38"/>
      <c r="AC18" s="40" t="str">
        <f t="shared" ca="1" si="3"/>
        <v/>
      </c>
      <c r="AD18" s="37" t="str">
        <f t="shared" si="9"/>
        <v/>
      </c>
      <c r="AE18" s="54" t="str">
        <f t="shared" si="10"/>
        <v/>
      </c>
      <c r="AF18" s="66" t="str">
        <f t="shared" ca="1" si="4"/>
        <v/>
      </c>
      <c r="AG18" s="66" t="str">
        <f t="shared" ca="1" si="11"/>
        <v/>
      </c>
      <c r="AH18" s="66" t="str">
        <f t="shared" ca="1" si="5"/>
        <v/>
      </c>
      <c r="AI18" s="66" t="str">
        <f t="shared" ca="1" si="6"/>
        <v/>
      </c>
      <c r="AJ18" s="66">
        <f t="shared" ca="1" si="7"/>
        <v>0</v>
      </c>
      <c r="AK18" s="66" t="str">
        <f t="shared" ca="1" si="8"/>
        <v/>
      </c>
      <c r="AL18" s="66" t="e">
        <f ca="1">CHOOSE(AF18,FALSE,Data!DV$2,IF(Data!DP$2="Transport",FALSE,Data!DV$2),IF(Data!DP$2="Transport",FALSE,Data!DV$2),FALSE,FALSE,Data!DV$2)</f>
        <v>#VALUE!</v>
      </c>
      <c r="AM18" s="66" t="e">
        <f ca="1">CHOOSE(AF18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18" s="66" t="e">
        <f ca="1">IF(C18="Innovation","1159400",IF(C18="Gestion","1151000",IF(C18="OPTER","1151210",IF(AND(C18="Connaissances",D18="Écoconduite"),"1157170",IF(AND(C18="Conversion",D18="Bioénergies"),"1151240",IF(AND(C18="Conversion",D18="Solaires"),"1151202",INDEX(OFFSET(Type_Entreprise,,2,,),MATCH(#REF!,Type_Entreprise,0))))))))</f>
        <v>#REF!</v>
      </c>
      <c r="AO18"/>
      <c r="AP18"/>
    </row>
    <row r="19" spans="1:42" ht="15.75" customHeight="1" x14ac:dyDescent="0.2">
      <c r="A19" s="3"/>
      <c r="B19" s="4"/>
      <c r="C19" s="4" t="s">
        <v>245</v>
      </c>
      <c r="D19" s="4"/>
      <c r="E19" s="4" t="s">
        <v>245</v>
      </c>
      <c r="F19" s="4"/>
      <c r="G19" s="36" t="str">
        <f t="shared" ca="1" si="0"/>
        <v/>
      </c>
      <c r="H19" s="84"/>
      <c r="I19" s="38"/>
      <c r="J19" s="4"/>
      <c r="K19" s="57"/>
      <c r="L19" s="38"/>
      <c r="M19" s="55"/>
      <c r="N19" s="86"/>
      <c r="O19" s="37" t="str">
        <f t="shared" ca="1" si="1"/>
        <v/>
      </c>
      <c r="P19" s="40" t="str">
        <f t="shared" ca="1" si="2"/>
        <v/>
      </c>
      <c r="Q19" s="89">
        <v>0</v>
      </c>
      <c r="R19" s="89">
        <v>0</v>
      </c>
      <c r="S19" s="89">
        <v>0</v>
      </c>
      <c r="T19" s="90"/>
      <c r="U19" s="89"/>
      <c r="V19" s="3" t="s">
        <v>245</v>
      </c>
      <c r="W19" s="14"/>
      <c r="X19" s="14"/>
      <c r="Y19" s="93"/>
      <c r="Z19" s="93"/>
      <c r="AA19" s="3"/>
      <c r="AB19" s="38"/>
      <c r="AC19" s="40" t="str">
        <f t="shared" ca="1" si="3"/>
        <v/>
      </c>
      <c r="AD19" s="37" t="str">
        <f t="shared" si="9"/>
        <v/>
      </c>
      <c r="AE19" s="54" t="str">
        <f t="shared" si="10"/>
        <v/>
      </c>
      <c r="AF19" s="66" t="str">
        <f t="shared" ca="1" si="4"/>
        <v/>
      </c>
      <c r="AG19" s="66" t="str">
        <f t="shared" ca="1" si="11"/>
        <v/>
      </c>
      <c r="AH19" s="66" t="str">
        <f t="shared" ca="1" si="5"/>
        <v/>
      </c>
      <c r="AI19" s="66" t="str">
        <f t="shared" ca="1" si="6"/>
        <v/>
      </c>
      <c r="AJ19" s="66">
        <f t="shared" ca="1" si="7"/>
        <v>0</v>
      </c>
      <c r="AK19" s="66" t="str">
        <f t="shared" ca="1" si="8"/>
        <v/>
      </c>
      <c r="AL19" s="66" t="e">
        <f ca="1">CHOOSE(AF19,FALSE,Data!DV$2,IF(Data!DP$2="Transport",FALSE,Data!DV$2),IF(Data!DP$2="Transport",FALSE,Data!DV$2),FALSE,FALSE,Data!DV$2)</f>
        <v>#VALUE!</v>
      </c>
      <c r="AM19" s="66" t="e">
        <f ca="1">CHOOSE(AF19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19" s="66" t="e">
        <f ca="1">IF(C19="Innovation","1159400",IF(C19="Gestion","1151000",IF(C19="OPTER","1151210",IF(AND(C19="Connaissances",D19="Écoconduite"),"1157170",IF(AND(C19="Conversion",D19="Bioénergies"),"1151240",IF(AND(C19="Conversion",D19="Solaires"),"1151202",INDEX(OFFSET(Type_Entreprise,,2,,),MATCH(#REF!,Type_Entreprise,0))))))))</f>
        <v>#REF!</v>
      </c>
      <c r="AO19"/>
      <c r="AP19"/>
    </row>
    <row r="20" spans="1:42" ht="15.75" customHeight="1" x14ac:dyDescent="0.2">
      <c r="A20" s="3"/>
      <c r="B20" s="4"/>
      <c r="C20" s="4" t="s">
        <v>245</v>
      </c>
      <c r="D20" s="4"/>
      <c r="E20" s="4" t="s">
        <v>245</v>
      </c>
      <c r="F20" s="4"/>
      <c r="G20" s="36" t="str">
        <f t="shared" ca="1" si="0"/>
        <v/>
      </c>
      <c r="H20" s="84"/>
      <c r="I20" s="38"/>
      <c r="J20" s="4"/>
      <c r="K20" s="57"/>
      <c r="L20" s="38"/>
      <c r="M20" s="55"/>
      <c r="N20" s="86"/>
      <c r="O20" s="37" t="str">
        <f t="shared" ca="1" si="1"/>
        <v/>
      </c>
      <c r="P20" s="40" t="str">
        <f t="shared" ca="1" si="2"/>
        <v/>
      </c>
      <c r="Q20" s="89">
        <v>0</v>
      </c>
      <c r="R20" s="89">
        <v>0</v>
      </c>
      <c r="S20" s="89">
        <v>0</v>
      </c>
      <c r="T20" s="90"/>
      <c r="U20" s="89"/>
      <c r="V20" s="3" t="s">
        <v>245</v>
      </c>
      <c r="W20" s="14"/>
      <c r="X20" s="14"/>
      <c r="Y20" s="93"/>
      <c r="Z20" s="93"/>
      <c r="AA20" s="3"/>
      <c r="AB20" s="38"/>
      <c r="AC20" s="40" t="str">
        <f t="shared" ca="1" si="3"/>
        <v/>
      </c>
      <c r="AD20" s="37" t="str">
        <f t="shared" si="9"/>
        <v/>
      </c>
      <c r="AE20" s="54" t="str">
        <f t="shared" si="10"/>
        <v/>
      </c>
      <c r="AF20" s="66" t="str">
        <f t="shared" ca="1" si="4"/>
        <v/>
      </c>
      <c r="AG20" s="66" t="str">
        <f t="shared" ca="1" si="11"/>
        <v/>
      </c>
      <c r="AH20" s="66" t="str">
        <f t="shared" ca="1" si="5"/>
        <v/>
      </c>
      <c r="AI20" s="66" t="str">
        <f t="shared" ca="1" si="6"/>
        <v/>
      </c>
      <c r="AJ20" s="66">
        <f t="shared" ca="1" si="7"/>
        <v>0</v>
      </c>
      <c r="AK20" s="66" t="str">
        <f t="shared" ca="1" si="8"/>
        <v/>
      </c>
      <c r="AL20" s="66" t="e">
        <f ca="1">CHOOSE(AF20,FALSE,Data!DV$2,IF(Data!DP$2="Transport",FALSE,Data!DV$2),IF(Data!DP$2="Transport",FALSE,Data!DV$2),FALSE,FALSE,Data!DV$2)</f>
        <v>#VALUE!</v>
      </c>
      <c r="AM20" s="66" t="e">
        <f ca="1">CHOOSE(AF20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0" s="66" t="e">
        <f ca="1">IF(C20="Innovation","1159400",IF(C20="Gestion","1151000",IF(C20="OPTER","1151210",IF(AND(C20="Connaissances",D20="Écoconduite"),"1157170",IF(AND(C20="Conversion",D20="Bioénergies"),"1151240",IF(AND(C20="Conversion",D20="Solaires"),"1151202",INDEX(OFFSET(Type_Entreprise,,2,,),MATCH(#REF!,Type_Entreprise,0))))))))</f>
        <v>#REF!</v>
      </c>
      <c r="AO20"/>
      <c r="AP20"/>
    </row>
    <row r="21" spans="1:42" ht="15.75" customHeight="1" x14ac:dyDescent="0.2">
      <c r="A21" s="3"/>
      <c r="B21" s="4"/>
      <c r="C21" s="4" t="s">
        <v>245</v>
      </c>
      <c r="D21" s="4"/>
      <c r="E21" s="4" t="s">
        <v>245</v>
      </c>
      <c r="F21" s="4"/>
      <c r="G21" s="36" t="str">
        <f t="shared" ca="1" si="0"/>
        <v/>
      </c>
      <c r="H21" s="84"/>
      <c r="I21" s="38"/>
      <c r="J21" s="4"/>
      <c r="K21" s="57"/>
      <c r="L21" s="38"/>
      <c r="M21" s="55"/>
      <c r="N21" s="86"/>
      <c r="O21" s="37" t="str">
        <f t="shared" ca="1" si="1"/>
        <v/>
      </c>
      <c r="P21" s="40" t="str">
        <f t="shared" ca="1" si="2"/>
        <v/>
      </c>
      <c r="Q21" s="89">
        <v>0</v>
      </c>
      <c r="R21" s="89">
        <v>0</v>
      </c>
      <c r="S21" s="89">
        <v>0</v>
      </c>
      <c r="T21" s="90"/>
      <c r="U21" s="89"/>
      <c r="V21" s="3" t="s">
        <v>245</v>
      </c>
      <c r="W21" s="14"/>
      <c r="X21" s="14"/>
      <c r="Y21" s="93"/>
      <c r="Z21" s="93"/>
      <c r="AA21" s="3"/>
      <c r="AB21" s="38"/>
      <c r="AC21" s="40" t="str">
        <f t="shared" ca="1" si="3"/>
        <v/>
      </c>
      <c r="AD21" s="37" t="str">
        <f t="shared" si="9"/>
        <v/>
      </c>
      <c r="AE21" s="54" t="str">
        <f t="shared" si="10"/>
        <v/>
      </c>
      <c r="AF21" s="66" t="str">
        <f t="shared" ca="1" si="4"/>
        <v/>
      </c>
      <c r="AG21" s="66" t="str">
        <f t="shared" ca="1" si="11"/>
        <v/>
      </c>
      <c r="AH21" s="66" t="str">
        <f t="shared" ca="1" si="5"/>
        <v/>
      </c>
      <c r="AI21" s="66" t="str">
        <f t="shared" ca="1" si="6"/>
        <v/>
      </c>
      <c r="AJ21" s="66">
        <f t="shared" ca="1" si="7"/>
        <v>0</v>
      </c>
      <c r="AK21" s="66" t="str">
        <f t="shared" ca="1" si="8"/>
        <v/>
      </c>
      <c r="AL21" s="66" t="e">
        <f ca="1">CHOOSE(AF21,FALSE,Data!DV$2,IF(Data!DP$2="Transport",FALSE,Data!DV$2),IF(Data!DP$2="Transport",FALSE,Data!DV$2),FALSE,FALSE,Data!DV$2)</f>
        <v>#VALUE!</v>
      </c>
      <c r="AM21" s="66" t="e">
        <f ca="1">CHOOSE(AF21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1" s="66" t="e">
        <f ca="1">IF(C21="Innovation","1159400",IF(C21="Gestion","1151000",IF(C21="OPTER","1151210",IF(AND(C21="Connaissances",D21="Écoconduite"),"1157170",IF(AND(C21="Conversion",D21="Bioénergies"),"1151240",IF(AND(C21="Conversion",D21="Solaires"),"1151202",INDEX(OFFSET(Type_Entreprise,,2,,),MATCH(#REF!,Type_Entreprise,0))))))))</f>
        <v>#REF!</v>
      </c>
      <c r="AO21"/>
      <c r="AP21"/>
    </row>
    <row r="22" spans="1:42" ht="15.75" customHeight="1" x14ac:dyDescent="0.2">
      <c r="A22" s="3"/>
      <c r="B22" s="4"/>
      <c r="C22" s="4" t="s">
        <v>245</v>
      </c>
      <c r="D22" s="4"/>
      <c r="E22" s="4" t="s">
        <v>245</v>
      </c>
      <c r="F22" s="4"/>
      <c r="G22" s="36" t="str">
        <f t="shared" ca="1" si="0"/>
        <v/>
      </c>
      <c r="H22" s="84"/>
      <c r="I22" s="38"/>
      <c r="J22" s="4"/>
      <c r="K22" s="57"/>
      <c r="L22" s="38"/>
      <c r="M22" s="55"/>
      <c r="N22" s="86"/>
      <c r="O22" s="37" t="str">
        <f t="shared" ca="1" si="1"/>
        <v/>
      </c>
      <c r="P22" s="40" t="str">
        <f t="shared" ca="1" si="2"/>
        <v/>
      </c>
      <c r="Q22" s="89">
        <v>0</v>
      </c>
      <c r="R22" s="89">
        <v>0</v>
      </c>
      <c r="S22" s="89">
        <v>0</v>
      </c>
      <c r="T22" s="90"/>
      <c r="U22" s="89"/>
      <c r="V22" s="3" t="s">
        <v>245</v>
      </c>
      <c r="W22" s="14"/>
      <c r="X22" s="14"/>
      <c r="Y22" s="93"/>
      <c r="Z22" s="93"/>
      <c r="AA22" s="3"/>
      <c r="AB22" s="38"/>
      <c r="AC22" s="40" t="str">
        <f t="shared" ca="1" si="3"/>
        <v/>
      </c>
      <c r="AD22" s="37" t="str">
        <f t="shared" si="9"/>
        <v/>
      </c>
      <c r="AE22" s="54" t="str">
        <f t="shared" si="10"/>
        <v/>
      </c>
      <c r="AF22" s="66" t="str">
        <f t="shared" ca="1" si="4"/>
        <v/>
      </c>
      <c r="AG22" s="66" t="str">
        <f t="shared" ca="1" si="11"/>
        <v/>
      </c>
      <c r="AH22" s="66" t="str">
        <f t="shared" ca="1" si="5"/>
        <v/>
      </c>
      <c r="AI22" s="66" t="str">
        <f t="shared" ca="1" si="6"/>
        <v/>
      </c>
      <c r="AJ22" s="66">
        <f t="shared" ca="1" si="7"/>
        <v>0</v>
      </c>
      <c r="AK22" s="66" t="str">
        <f t="shared" ca="1" si="8"/>
        <v/>
      </c>
      <c r="AL22" s="66" t="e">
        <f ca="1">CHOOSE(AF22,FALSE,Data!DV$2,IF(Data!DP$2="Transport",FALSE,Data!DV$2),IF(Data!DP$2="Transport",FALSE,Data!DV$2),FALSE,FALSE,Data!DV$2)</f>
        <v>#VALUE!</v>
      </c>
      <c r="AM22" s="66" t="e">
        <f ca="1">CHOOSE(AF22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2" s="66" t="e">
        <f ca="1">IF(C22="Innovation","1159400",IF(C22="Gestion","1151000",IF(C22="OPTER","1151210",IF(AND(C22="Connaissances",D22="Écoconduite"),"1157170",IF(AND(C22="Conversion",D22="Bioénergies"),"1151240",IF(AND(C22="Conversion",D22="Solaires"),"1151202",INDEX(OFFSET(Type_Entreprise,,2,,),MATCH(#REF!,Type_Entreprise,0))))))))</f>
        <v>#REF!</v>
      </c>
      <c r="AO22"/>
      <c r="AP22"/>
    </row>
    <row r="23" spans="1:42" ht="15.75" customHeight="1" x14ac:dyDescent="0.2">
      <c r="A23" s="3"/>
      <c r="B23" s="4"/>
      <c r="C23" s="4" t="s">
        <v>245</v>
      </c>
      <c r="D23" s="4"/>
      <c r="E23" s="4" t="s">
        <v>245</v>
      </c>
      <c r="F23" s="4"/>
      <c r="G23" s="36" t="str">
        <f t="shared" ca="1" si="0"/>
        <v/>
      </c>
      <c r="H23" s="84"/>
      <c r="I23" s="38"/>
      <c r="J23" s="4"/>
      <c r="K23" s="57"/>
      <c r="L23" s="38"/>
      <c r="M23" s="55"/>
      <c r="N23" s="86"/>
      <c r="O23" s="37" t="str">
        <f t="shared" ca="1" si="1"/>
        <v/>
      </c>
      <c r="P23" s="40" t="str">
        <f t="shared" ca="1" si="2"/>
        <v/>
      </c>
      <c r="Q23" s="89">
        <v>0</v>
      </c>
      <c r="R23" s="89">
        <v>0</v>
      </c>
      <c r="S23" s="89">
        <v>0</v>
      </c>
      <c r="T23" s="90"/>
      <c r="U23" s="89"/>
      <c r="V23" s="3" t="s">
        <v>245</v>
      </c>
      <c r="W23" s="14"/>
      <c r="X23" s="14"/>
      <c r="Y23" s="93"/>
      <c r="Z23" s="93"/>
      <c r="AA23" s="3"/>
      <c r="AB23" s="38"/>
      <c r="AC23" s="40" t="str">
        <f t="shared" ca="1" si="3"/>
        <v/>
      </c>
      <c r="AD23" s="37" t="str">
        <f t="shared" si="9"/>
        <v/>
      </c>
      <c r="AE23" s="54" t="str">
        <f t="shared" si="10"/>
        <v/>
      </c>
      <c r="AF23" s="66" t="str">
        <f t="shared" ca="1" si="4"/>
        <v/>
      </c>
      <c r="AG23" s="66" t="str">
        <f t="shared" ca="1" si="11"/>
        <v/>
      </c>
      <c r="AH23" s="66" t="str">
        <f t="shared" ca="1" si="5"/>
        <v/>
      </c>
      <c r="AI23" s="66" t="str">
        <f t="shared" ca="1" si="6"/>
        <v/>
      </c>
      <c r="AJ23" s="66">
        <f t="shared" ca="1" si="7"/>
        <v>0</v>
      </c>
      <c r="AK23" s="66" t="str">
        <f t="shared" ca="1" si="8"/>
        <v/>
      </c>
      <c r="AL23" s="66" t="e">
        <f ca="1">CHOOSE(AF23,FALSE,Data!DV$2,IF(Data!DP$2="Transport",FALSE,Data!DV$2),IF(Data!DP$2="Transport",FALSE,Data!DV$2),FALSE,FALSE,Data!DV$2)</f>
        <v>#VALUE!</v>
      </c>
      <c r="AM23" s="66" t="e">
        <f ca="1">CHOOSE(AF23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3" s="66" t="e">
        <f ca="1">IF(C23="Innovation","1159400",IF(C23="Gestion","1151000",IF(C23="OPTER","1151210",IF(AND(C23="Connaissances",D23="Écoconduite"),"1157170",IF(AND(C23="Conversion",D23="Bioénergies"),"1151240",IF(AND(C23="Conversion",D23="Solaires"),"1151202",INDEX(OFFSET(Type_Entreprise,,2,,),MATCH(#REF!,Type_Entreprise,0))))))))</f>
        <v>#REF!</v>
      </c>
      <c r="AO23"/>
      <c r="AP23"/>
    </row>
    <row r="24" spans="1:42" ht="15.75" customHeight="1" x14ac:dyDescent="0.2">
      <c r="A24" s="3"/>
      <c r="B24" s="4"/>
      <c r="C24" s="4" t="s">
        <v>245</v>
      </c>
      <c r="D24" s="4"/>
      <c r="E24" s="4" t="s">
        <v>245</v>
      </c>
      <c r="F24" s="4"/>
      <c r="G24" s="36" t="str">
        <f t="shared" ca="1" si="0"/>
        <v/>
      </c>
      <c r="H24" s="84"/>
      <c r="I24" s="38"/>
      <c r="J24" s="4"/>
      <c r="K24" s="57"/>
      <c r="L24" s="38"/>
      <c r="M24" s="55"/>
      <c r="N24" s="86"/>
      <c r="O24" s="37" t="str">
        <f t="shared" ca="1" si="1"/>
        <v/>
      </c>
      <c r="P24" s="40" t="str">
        <f t="shared" ca="1" si="2"/>
        <v/>
      </c>
      <c r="Q24" s="89">
        <v>0</v>
      </c>
      <c r="R24" s="89">
        <v>0</v>
      </c>
      <c r="S24" s="89">
        <v>0</v>
      </c>
      <c r="T24" s="90"/>
      <c r="U24" s="89"/>
      <c r="V24" s="3" t="s">
        <v>245</v>
      </c>
      <c r="W24" s="14"/>
      <c r="X24" s="14"/>
      <c r="Y24" s="93"/>
      <c r="Z24" s="93"/>
      <c r="AA24" s="3"/>
      <c r="AB24" s="38"/>
      <c r="AC24" s="40" t="str">
        <f t="shared" ca="1" si="3"/>
        <v/>
      </c>
      <c r="AD24" s="37" t="str">
        <f t="shared" si="9"/>
        <v/>
      </c>
      <c r="AE24" s="54" t="str">
        <f t="shared" si="10"/>
        <v/>
      </c>
      <c r="AF24" s="66" t="str">
        <f t="shared" ca="1" si="4"/>
        <v/>
      </c>
      <c r="AG24" s="66" t="str">
        <f t="shared" ca="1" si="11"/>
        <v/>
      </c>
      <c r="AH24" s="66" t="str">
        <f t="shared" ca="1" si="5"/>
        <v/>
      </c>
      <c r="AI24" s="66" t="str">
        <f t="shared" ca="1" si="6"/>
        <v/>
      </c>
      <c r="AJ24" s="66">
        <f t="shared" ca="1" si="7"/>
        <v>0</v>
      </c>
      <c r="AK24" s="66" t="str">
        <f t="shared" ca="1" si="8"/>
        <v/>
      </c>
      <c r="AL24" s="66" t="e">
        <f ca="1">CHOOSE(AF24,FALSE,Data!DV$2,IF(Data!DP$2="Transport",FALSE,Data!DV$2),IF(Data!DP$2="Transport",FALSE,Data!DV$2),FALSE,FALSE,Data!DV$2)</f>
        <v>#VALUE!</v>
      </c>
      <c r="AM24" s="66" t="e">
        <f ca="1">CHOOSE(AF24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4" s="66" t="e">
        <f ca="1">IF(C24="Innovation","1159400",IF(C24="Gestion","1151000",IF(C24="OPTER","1151210",IF(AND(C24="Connaissances",D24="Écoconduite"),"1157170",IF(AND(C24="Conversion",D24="Bioénergies"),"1151240",IF(AND(C24="Conversion",D24="Solaires"),"1151202",INDEX(OFFSET(Type_Entreprise,,2,,),MATCH(#REF!,Type_Entreprise,0))))))))</f>
        <v>#REF!</v>
      </c>
      <c r="AO24"/>
      <c r="AP24"/>
    </row>
    <row r="25" spans="1:42" ht="15.75" customHeight="1" x14ac:dyDescent="0.2">
      <c r="A25" s="3"/>
      <c r="B25" s="4"/>
      <c r="C25" s="4" t="s">
        <v>245</v>
      </c>
      <c r="D25" s="4"/>
      <c r="E25" s="4" t="s">
        <v>245</v>
      </c>
      <c r="F25" s="4"/>
      <c r="G25" s="36" t="str">
        <f t="shared" ca="1" si="0"/>
        <v/>
      </c>
      <c r="H25" s="84"/>
      <c r="I25" s="38"/>
      <c r="J25" s="4"/>
      <c r="K25" s="57"/>
      <c r="L25" s="38"/>
      <c r="M25" s="55"/>
      <c r="N25" s="86"/>
      <c r="O25" s="37" t="str">
        <f t="shared" ca="1" si="1"/>
        <v/>
      </c>
      <c r="P25" s="40" t="str">
        <f t="shared" ca="1" si="2"/>
        <v/>
      </c>
      <c r="Q25" s="89">
        <v>0</v>
      </c>
      <c r="R25" s="89">
        <v>0</v>
      </c>
      <c r="S25" s="89">
        <v>0</v>
      </c>
      <c r="T25" s="90"/>
      <c r="U25" s="89"/>
      <c r="V25" s="3" t="s">
        <v>245</v>
      </c>
      <c r="W25" s="14"/>
      <c r="X25" s="14"/>
      <c r="Y25" s="93"/>
      <c r="Z25" s="93"/>
      <c r="AA25" s="3"/>
      <c r="AB25" s="38"/>
      <c r="AC25" s="40" t="str">
        <f t="shared" ca="1" si="3"/>
        <v/>
      </c>
      <c r="AD25" s="37" t="str">
        <f t="shared" si="9"/>
        <v/>
      </c>
      <c r="AE25" s="54" t="str">
        <f t="shared" si="10"/>
        <v/>
      </c>
      <c r="AF25" s="66" t="str">
        <f t="shared" ca="1" si="4"/>
        <v/>
      </c>
      <c r="AG25" s="66" t="str">
        <f t="shared" ca="1" si="11"/>
        <v/>
      </c>
      <c r="AH25" s="66" t="str">
        <f t="shared" ca="1" si="5"/>
        <v/>
      </c>
      <c r="AI25" s="66" t="str">
        <f t="shared" ca="1" si="6"/>
        <v/>
      </c>
      <c r="AJ25" s="66">
        <f t="shared" ca="1" si="7"/>
        <v>0</v>
      </c>
      <c r="AK25" s="66" t="str">
        <f t="shared" ca="1" si="8"/>
        <v/>
      </c>
      <c r="AL25" s="66" t="e">
        <f ca="1">CHOOSE(AF25,FALSE,Data!DV$2,IF(Data!DP$2="Transport",FALSE,Data!DV$2),IF(Data!DP$2="Transport",FALSE,Data!DV$2),FALSE,FALSE,Data!DV$2)</f>
        <v>#VALUE!</v>
      </c>
      <c r="AM25" s="66" t="e">
        <f ca="1">CHOOSE(AF25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5" s="66" t="e">
        <f ca="1">IF(C25="Innovation","1159400",IF(C25="Gestion","1151000",IF(C25="OPTER","1151210",IF(AND(C25="Connaissances",D25="Écoconduite"),"1157170",IF(AND(C25="Conversion",D25="Bioénergies"),"1151240",IF(AND(C25="Conversion",D25="Solaires"),"1151202",INDEX(OFFSET(Type_Entreprise,,2,,),MATCH(#REF!,Type_Entreprise,0))))))))</f>
        <v>#REF!</v>
      </c>
      <c r="AO25"/>
      <c r="AP25"/>
    </row>
    <row r="26" spans="1:42" ht="15.75" customHeight="1" x14ac:dyDescent="0.2">
      <c r="A26" s="3"/>
      <c r="B26" s="4"/>
      <c r="C26" s="4" t="s">
        <v>245</v>
      </c>
      <c r="D26" s="4"/>
      <c r="E26" s="4" t="s">
        <v>245</v>
      </c>
      <c r="F26" s="4"/>
      <c r="G26" s="36" t="str">
        <f t="shared" ca="1" si="0"/>
        <v/>
      </c>
      <c r="H26" s="84"/>
      <c r="I26" s="38"/>
      <c r="J26" s="4"/>
      <c r="K26" s="57"/>
      <c r="L26" s="38"/>
      <c r="M26" s="55"/>
      <c r="N26" s="86"/>
      <c r="O26" s="37" t="str">
        <f t="shared" ca="1" si="1"/>
        <v/>
      </c>
      <c r="P26" s="40" t="str">
        <f t="shared" ca="1" si="2"/>
        <v/>
      </c>
      <c r="Q26" s="89">
        <v>0</v>
      </c>
      <c r="R26" s="89">
        <v>0</v>
      </c>
      <c r="S26" s="89">
        <v>0</v>
      </c>
      <c r="T26" s="90"/>
      <c r="U26" s="89"/>
      <c r="V26" s="3" t="s">
        <v>245</v>
      </c>
      <c r="W26" s="14"/>
      <c r="X26" s="14"/>
      <c r="Y26" s="93"/>
      <c r="Z26" s="93"/>
      <c r="AA26" s="3"/>
      <c r="AB26" s="38"/>
      <c r="AC26" s="40" t="str">
        <f t="shared" ca="1" si="3"/>
        <v/>
      </c>
      <c r="AD26" s="37" t="str">
        <f t="shared" si="9"/>
        <v/>
      </c>
      <c r="AE26" s="54" t="str">
        <f t="shared" si="10"/>
        <v/>
      </c>
      <c r="AF26" s="66" t="str">
        <f t="shared" ca="1" si="4"/>
        <v/>
      </c>
      <c r="AG26" s="66" t="str">
        <f t="shared" ca="1" si="11"/>
        <v/>
      </c>
      <c r="AH26" s="66" t="str">
        <f t="shared" ca="1" si="5"/>
        <v/>
      </c>
      <c r="AI26" s="66" t="str">
        <f t="shared" ca="1" si="6"/>
        <v/>
      </c>
      <c r="AJ26" s="66">
        <f t="shared" ca="1" si="7"/>
        <v>0</v>
      </c>
      <c r="AK26" s="66" t="str">
        <f t="shared" ca="1" si="8"/>
        <v/>
      </c>
      <c r="AL26" s="66" t="e">
        <f ca="1">CHOOSE(AF26,FALSE,Data!DV$2,IF(Data!DP$2="Transport",FALSE,Data!DV$2),IF(Data!DP$2="Transport",FALSE,Data!DV$2),FALSE,FALSE,Data!DV$2)</f>
        <v>#VALUE!</v>
      </c>
      <c r="AM26" s="66" t="e">
        <f ca="1">CHOOSE(AF26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6" s="66" t="e">
        <f ca="1">IF(C26="Innovation","1159400",IF(C26="Gestion","1151000",IF(C26="OPTER","1151210",IF(AND(C26="Connaissances",D26="Écoconduite"),"1157170",IF(AND(C26="Conversion",D26="Bioénergies"),"1151240",IF(AND(C26="Conversion",D26="Solaires"),"1151202",INDEX(OFFSET(Type_Entreprise,,2,,),MATCH(#REF!,Type_Entreprise,0))))))))</f>
        <v>#REF!</v>
      </c>
      <c r="AO26"/>
      <c r="AP26"/>
    </row>
    <row r="27" spans="1:42" ht="15.75" customHeight="1" x14ac:dyDescent="0.2">
      <c r="A27" s="3"/>
      <c r="B27" s="4"/>
      <c r="C27" s="4" t="s">
        <v>245</v>
      </c>
      <c r="D27" s="4"/>
      <c r="E27" s="4" t="s">
        <v>245</v>
      </c>
      <c r="F27" s="4"/>
      <c r="G27" s="36" t="str">
        <f t="shared" ca="1" si="0"/>
        <v/>
      </c>
      <c r="H27" s="84"/>
      <c r="I27" s="38"/>
      <c r="J27" s="4"/>
      <c r="K27" s="57"/>
      <c r="L27" s="38"/>
      <c r="M27" s="55"/>
      <c r="N27" s="86"/>
      <c r="O27" s="37" t="str">
        <f t="shared" ca="1" si="1"/>
        <v/>
      </c>
      <c r="P27" s="40" t="str">
        <f t="shared" ca="1" si="2"/>
        <v/>
      </c>
      <c r="Q27" s="89">
        <v>0</v>
      </c>
      <c r="R27" s="89">
        <v>0</v>
      </c>
      <c r="S27" s="89">
        <v>0</v>
      </c>
      <c r="T27" s="90"/>
      <c r="U27" s="89"/>
      <c r="V27" s="3" t="s">
        <v>245</v>
      </c>
      <c r="W27" s="14"/>
      <c r="X27" s="14"/>
      <c r="Y27" s="93"/>
      <c r="Z27" s="93"/>
      <c r="AA27" s="3"/>
      <c r="AB27" s="38"/>
      <c r="AC27" s="40" t="str">
        <f t="shared" ca="1" si="3"/>
        <v/>
      </c>
      <c r="AD27" s="37" t="str">
        <f t="shared" si="9"/>
        <v/>
      </c>
      <c r="AE27" s="54" t="str">
        <f t="shared" si="10"/>
        <v/>
      </c>
      <c r="AF27" s="66" t="str">
        <f t="shared" ca="1" si="4"/>
        <v/>
      </c>
      <c r="AG27" s="66" t="str">
        <f t="shared" ca="1" si="11"/>
        <v/>
      </c>
      <c r="AH27" s="66" t="str">
        <f t="shared" ca="1" si="5"/>
        <v/>
      </c>
      <c r="AI27" s="66" t="str">
        <f t="shared" ca="1" si="6"/>
        <v/>
      </c>
      <c r="AJ27" s="66">
        <f t="shared" ca="1" si="7"/>
        <v>0</v>
      </c>
      <c r="AK27" s="66" t="str">
        <f t="shared" ca="1" si="8"/>
        <v/>
      </c>
      <c r="AL27" s="66" t="e">
        <f ca="1">CHOOSE(AF27,FALSE,Data!DV$2,IF(Data!DP$2="Transport",FALSE,Data!DV$2),IF(Data!DP$2="Transport",FALSE,Data!DV$2),FALSE,FALSE,Data!DV$2)</f>
        <v>#VALUE!</v>
      </c>
      <c r="AM27" s="66" t="e">
        <f ca="1">CHOOSE(AF27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7" s="66" t="e">
        <f ca="1">IF(C27="Innovation","1159400",IF(C27="Gestion","1151000",IF(C27="OPTER","1151210",IF(AND(C27="Connaissances",D27="Écoconduite"),"1157170",IF(AND(C27="Conversion",D27="Bioénergies"),"1151240",IF(AND(C27="Conversion",D27="Solaires"),"1151202",INDEX(OFFSET(Type_Entreprise,,2,,),MATCH(#REF!,Type_Entreprise,0))))))))</f>
        <v>#REF!</v>
      </c>
      <c r="AO27"/>
      <c r="AP27"/>
    </row>
    <row r="28" spans="1:42" ht="15.75" customHeight="1" x14ac:dyDescent="0.2">
      <c r="A28" s="3"/>
      <c r="B28" s="4"/>
      <c r="C28" s="4" t="s">
        <v>245</v>
      </c>
      <c r="D28" s="4"/>
      <c r="E28" s="4" t="s">
        <v>245</v>
      </c>
      <c r="F28" s="4"/>
      <c r="G28" s="36" t="str">
        <f t="shared" ca="1" si="0"/>
        <v/>
      </c>
      <c r="H28" s="84"/>
      <c r="I28" s="38"/>
      <c r="J28" s="4"/>
      <c r="K28" s="57"/>
      <c r="L28" s="38"/>
      <c r="M28" s="55"/>
      <c r="N28" s="86"/>
      <c r="O28" s="37" t="str">
        <f t="shared" ca="1" si="1"/>
        <v/>
      </c>
      <c r="P28" s="40" t="str">
        <f t="shared" ca="1" si="2"/>
        <v/>
      </c>
      <c r="Q28" s="89">
        <v>0</v>
      </c>
      <c r="R28" s="89">
        <v>0</v>
      </c>
      <c r="S28" s="89">
        <v>0</v>
      </c>
      <c r="T28" s="90"/>
      <c r="U28" s="89"/>
      <c r="V28" s="3" t="s">
        <v>245</v>
      </c>
      <c r="W28" s="14"/>
      <c r="X28" s="14"/>
      <c r="Y28" s="93"/>
      <c r="Z28" s="93"/>
      <c r="AA28" s="3"/>
      <c r="AB28" s="38"/>
      <c r="AC28" s="40" t="str">
        <f t="shared" ca="1" si="3"/>
        <v/>
      </c>
      <c r="AD28" s="37" t="str">
        <f t="shared" si="9"/>
        <v/>
      </c>
      <c r="AE28" s="54" t="str">
        <f t="shared" si="10"/>
        <v/>
      </c>
      <c r="AF28" s="66" t="str">
        <f t="shared" ca="1" si="4"/>
        <v/>
      </c>
      <c r="AG28" s="66" t="str">
        <f t="shared" ca="1" si="11"/>
        <v/>
      </c>
      <c r="AH28" s="66" t="str">
        <f t="shared" ca="1" si="5"/>
        <v/>
      </c>
      <c r="AI28" s="66" t="str">
        <f t="shared" ca="1" si="6"/>
        <v/>
      </c>
      <c r="AJ28" s="66">
        <f t="shared" ca="1" si="7"/>
        <v>0</v>
      </c>
      <c r="AK28" s="66" t="str">
        <f t="shared" ca="1" si="8"/>
        <v/>
      </c>
      <c r="AL28" s="66" t="e">
        <f ca="1">CHOOSE(AF28,FALSE,Data!DV$2,IF(Data!DP$2="Transport",FALSE,Data!DV$2),IF(Data!DP$2="Transport",FALSE,Data!DV$2),FALSE,FALSE,Data!DV$2)</f>
        <v>#VALUE!</v>
      </c>
      <c r="AM28" s="66" t="e">
        <f ca="1">CHOOSE(AF28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8" s="66" t="e">
        <f ca="1">IF(C28="Innovation","1159400",IF(C28="Gestion","1151000",IF(C28="OPTER","1151210",IF(AND(C28="Connaissances",D28="Écoconduite"),"1157170",IF(AND(C28="Conversion",D28="Bioénergies"),"1151240",IF(AND(C28="Conversion",D28="Solaires"),"1151202",INDEX(OFFSET(Type_Entreprise,,2,,),MATCH(#REF!,Type_Entreprise,0))))))))</f>
        <v>#REF!</v>
      </c>
      <c r="AO28"/>
      <c r="AP28"/>
    </row>
    <row r="29" spans="1:42" ht="15.75" customHeight="1" x14ac:dyDescent="0.2">
      <c r="A29" s="3"/>
      <c r="B29" s="4"/>
      <c r="C29" s="4" t="s">
        <v>245</v>
      </c>
      <c r="D29" s="4"/>
      <c r="E29" s="4" t="s">
        <v>245</v>
      </c>
      <c r="F29" s="4"/>
      <c r="G29" s="36" t="str">
        <f t="shared" ca="1" si="0"/>
        <v/>
      </c>
      <c r="H29" s="84"/>
      <c r="I29" s="38"/>
      <c r="J29" s="4"/>
      <c r="K29" s="57"/>
      <c r="L29" s="38"/>
      <c r="M29" s="55"/>
      <c r="N29" s="86"/>
      <c r="O29" s="37" t="str">
        <f t="shared" ca="1" si="1"/>
        <v/>
      </c>
      <c r="P29" s="40" t="str">
        <f t="shared" ca="1" si="2"/>
        <v/>
      </c>
      <c r="Q29" s="89">
        <v>0</v>
      </c>
      <c r="R29" s="89">
        <v>0</v>
      </c>
      <c r="S29" s="89">
        <v>0</v>
      </c>
      <c r="T29" s="90"/>
      <c r="U29" s="89"/>
      <c r="V29" s="3" t="s">
        <v>245</v>
      </c>
      <c r="W29" s="14"/>
      <c r="X29" s="14"/>
      <c r="Y29" s="93"/>
      <c r="Z29" s="93"/>
      <c r="AA29" s="3"/>
      <c r="AB29" s="38"/>
      <c r="AC29" s="40" t="str">
        <f t="shared" ca="1" si="3"/>
        <v/>
      </c>
      <c r="AD29" s="37" t="str">
        <f t="shared" si="9"/>
        <v/>
      </c>
      <c r="AE29" s="54" t="str">
        <f t="shared" si="10"/>
        <v/>
      </c>
      <c r="AF29" s="66" t="str">
        <f t="shared" ca="1" si="4"/>
        <v/>
      </c>
      <c r="AG29" s="66" t="str">
        <f t="shared" ca="1" si="11"/>
        <v/>
      </c>
      <c r="AH29" s="66" t="str">
        <f t="shared" ca="1" si="5"/>
        <v/>
      </c>
      <c r="AI29" s="66" t="str">
        <f t="shared" ca="1" si="6"/>
        <v/>
      </c>
      <c r="AJ29" s="66">
        <f t="shared" ca="1" si="7"/>
        <v>0</v>
      </c>
      <c r="AK29" s="66" t="str">
        <f t="shared" ca="1" si="8"/>
        <v/>
      </c>
      <c r="AL29" s="66" t="e">
        <f ca="1">CHOOSE(AF29,FALSE,Data!DV$2,IF(Data!DP$2="Transport",FALSE,Data!DV$2),IF(Data!DP$2="Transport",FALSE,Data!DV$2),FALSE,FALSE,Data!DV$2)</f>
        <v>#VALUE!</v>
      </c>
      <c r="AM29" s="66" t="e">
        <f ca="1">CHOOSE(AF29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29" s="66" t="e">
        <f ca="1">IF(C29="Innovation","1159400",IF(C29="Gestion","1151000",IF(C29="OPTER","1151210",IF(AND(C29="Connaissances",D29="Écoconduite"),"1157170",IF(AND(C29="Conversion",D29="Bioénergies"),"1151240",IF(AND(C29="Conversion",D29="Solaires"),"1151202",INDEX(OFFSET(Type_Entreprise,,2,,),MATCH(#REF!,Type_Entreprise,0))))))))</f>
        <v>#REF!</v>
      </c>
      <c r="AO29"/>
      <c r="AP29"/>
    </row>
    <row r="30" spans="1:42" ht="15.75" customHeight="1" x14ac:dyDescent="0.2">
      <c r="A30" s="3"/>
      <c r="B30" s="4"/>
      <c r="C30" s="4" t="s">
        <v>245</v>
      </c>
      <c r="D30" s="4"/>
      <c r="E30" s="4" t="s">
        <v>245</v>
      </c>
      <c r="F30" s="4"/>
      <c r="G30" s="36" t="str">
        <f t="shared" ca="1" si="0"/>
        <v/>
      </c>
      <c r="H30" s="84"/>
      <c r="I30" s="38"/>
      <c r="J30" s="4"/>
      <c r="K30" s="57"/>
      <c r="L30" s="38"/>
      <c r="M30" s="55"/>
      <c r="N30" s="86"/>
      <c r="O30" s="37" t="str">
        <f t="shared" ca="1" si="1"/>
        <v/>
      </c>
      <c r="P30" s="40" t="str">
        <f t="shared" ca="1" si="2"/>
        <v/>
      </c>
      <c r="Q30" s="89">
        <v>0</v>
      </c>
      <c r="R30" s="89">
        <v>0</v>
      </c>
      <c r="S30" s="89">
        <v>0</v>
      </c>
      <c r="T30" s="90"/>
      <c r="U30" s="89"/>
      <c r="V30" s="3" t="s">
        <v>245</v>
      </c>
      <c r="W30" s="14"/>
      <c r="X30" s="14"/>
      <c r="Y30" s="93"/>
      <c r="Z30" s="93"/>
      <c r="AA30" s="3"/>
      <c r="AB30" s="38"/>
      <c r="AC30" s="40" t="str">
        <f t="shared" ca="1" si="3"/>
        <v/>
      </c>
      <c r="AD30" s="37" t="str">
        <f t="shared" si="9"/>
        <v/>
      </c>
      <c r="AE30" s="54" t="str">
        <f t="shared" si="10"/>
        <v/>
      </c>
      <c r="AF30" s="66" t="str">
        <f t="shared" ca="1" si="4"/>
        <v/>
      </c>
      <c r="AG30" s="66" t="str">
        <f t="shared" ca="1" si="11"/>
        <v/>
      </c>
      <c r="AH30" s="66" t="str">
        <f t="shared" ca="1" si="5"/>
        <v/>
      </c>
      <c r="AI30" s="66" t="str">
        <f t="shared" ca="1" si="6"/>
        <v/>
      </c>
      <c r="AJ30" s="66">
        <f t="shared" ca="1" si="7"/>
        <v>0</v>
      </c>
      <c r="AK30" s="66" t="str">
        <f t="shared" ca="1" si="8"/>
        <v/>
      </c>
      <c r="AL30" s="66" t="e">
        <f ca="1">CHOOSE(AF30,FALSE,Data!DV$2,IF(Data!DP$2="Transport",FALSE,Data!DV$2),IF(Data!DP$2="Transport",FALSE,Data!DV$2),FALSE,FALSE,Data!DV$2)</f>
        <v>#VALUE!</v>
      </c>
      <c r="AM30" s="66" t="e">
        <f ca="1">CHOOSE(AF30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0" s="66" t="e">
        <f ca="1">IF(C30="Innovation","1159400",IF(C30="Gestion","1151000",IF(C30="OPTER","1151210",IF(AND(C30="Connaissances",D30="Écoconduite"),"1157170",IF(AND(C30="Conversion",D30="Bioénergies"),"1151240",IF(AND(C30="Conversion",D30="Solaires"),"1151202",INDEX(OFFSET(Type_Entreprise,,2,,),MATCH(#REF!,Type_Entreprise,0))))))))</f>
        <v>#REF!</v>
      </c>
      <c r="AO30"/>
      <c r="AP30"/>
    </row>
    <row r="31" spans="1:42" ht="15.75" customHeight="1" x14ac:dyDescent="0.2">
      <c r="A31" s="3"/>
      <c r="B31" s="4"/>
      <c r="C31" s="4" t="s">
        <v>245</v>
      </c>
      <c r="D31" s="4"/>
      <c r="E31" s="4" t="s">
        <v>245</v>
      </c>
      <c r="F31" s="4"/>
      <c r="G31" s="36" t="str">
        <f t="shared" ca="1" si="0"/>
        <v/>
      </c>
      <c r="H31" s="84"/>
      <c r="I31" s="38"/>
      <c r="J31" s="4"/>
      <c r="K31" s="57"/>
      <c r="L31" s="38"/>
      <c r="M31" s="55"/>
      <c r="N31" s="86"/>
      <c r="O31" s="37" t="str">
        <f t="shared" ca="1" si="1"/>
        <v/>
      </c>
      <c r="P31" s="40" t="str">
        <f t="shared" ca="1" si="2"/>
        <v/>
      </c>
      <c r="Q31" s="89">
        <v>0</v>
      </c>
      <c r="R31" s="89">
        <v>0</v>
      </c>
      <c r="S31" s="89">
        <v>0</v>
      </c>
      <c r="T31" s="90"/>
      <c r="U31" s="89"/>
      <c r="V31" s="3" t="s">
        <v>245</v>
      </c>
      <c r="W31" s="14"/>
      <c r="X31" s="14"/>
      <c r="Y31" s="93"/>
      <c r="Z31" s="93"/>
      <c r="AA31" s="3"/>
      <c r="AB31" s="38"/>
      <c r="AC31" s="40" t="str">
        <f t="shared" ca="1" si="3"/>
        <v/>
      </c>
      <c r="AD31" s="37" t="str">
        <f t="shared" si="9"/>
        <v/>
      </c>
      <c r="AE31" s="54" t="str">
        <f t="shared" si="10"/>
        <v/>
      </c>
      <c r="AF31" s="66" t="str">
        <f t="shared" ca="1" si="4"/>
        <v/>
      </c>
      <c r="AG31" s="66" t="str">
        <f t="shared" ca="1" si="11"/>
        <v/>
      </c>
      <c r="AH31" s="66" t="str">
        <f t="shared" ca="1" si="5"/>
        <v/>
      </c>
      <c r="AI31" s="66" t="str">
        <f t="shared" ca="1" si="6"/>
        <v/>
      </c>
      <c r="AJ31" s="66">
        <f t="shared" ca="1" si="7"/>
        <v>0</v>
      </c>
      <c r="AK31" s="66" t="str">
        <f t="shared" ca="1" si="8"/>
        <v/>
      </c>
      <c r="AL31" s="66" t="e">
        <f ca="1">CHOOSE(AF31,FALSE,Data!DV$2,IF(Data!DP$2="Transport",FALSE,Data!DV$2),IF(Data!DP$2="Transport",FALSE,Data!DV$2),FALSE,FALSE,Data!DV$2)</f>
        <v>#VALUE!</v>
      </c>
      <c r="AM31" s="66" t="e">
        <f ca="1">CHOOSE(AF31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1" s="66" t="e">
        <f ca="1">IF(C31="Innovation","1159400",IF(C31="Gestion","1151000",IF(C31="OPTER","1151210",IF(AND(C31="Connaissances",D31="Écoconduite"),"1157170",IF(AND(C31="Conversion",D31="Bioénergies"),"1151240",IF(AND(C31="Conversion",D31="Solaires"),"1151202",INDEX(OFFSET(Type_Entreprise,,2,,),MATCH(#REF!,Type_Entreprise,0))))))))</f>
        <v>#REF!</v>
      </c>
      <c r="AO31"/>
      <c r="AP31"/>
    </row>
    <row r="32" spans="1:42" ht="15.75" customHeight="1" x14ac:dyDescent="0.2">
      <c r="A32" s="3"/>
      <c r="B32" s="4"/>
      <c r="C32" s="4" t="s">
        <v>245</v>
      </c>
      <c r="D32" s="4"/>
      <c r="E32" s="4" t="s">
        <v>245</v>
      </c>
      <c r="F32" s="4"/>
      <c r="G32" s="36" t="str">
        <f t="shared" ca="1" si="0"/>
        <v/>
      </c>
      <c r="H32" s="84"/>
      <c r="I32" s="38"/>
      <c r="J32" s="4"/>
      <c r="K32" s="57"/>
      <c r="L32" s="38"/>
      <c r="M32" s="55"/>
      <c r="N32" s="86"/>
      <c r="O32" s="37" t="str">
        <f t="shared" ca="1" si="1"/>
        <v/>
      </c>
      <c r="P32" s="40" t="str">
        <f t="shared" ca="1" si="2"/>
        <v/>
      </c>
      <c r="Q32" s="89">
        <v>0</v>
      </c>
      <c r="R32" s="89">
        <v>0</v>
      </c>
      <c r="S32" s="89">
        <v>0</v>
      </c>
      <c r="T32" s="90"/>
      <c r="U32" s="89"/>
      <c r="V32" s="3" t="s">
        <v>245</v>
      </c>
      <c r="W32" s="14"/>
      <c r="X32" s="14"/>
      <c r="Y32" s="93"/>
      <c r="Z32" s="93"/>
      <c r="AA32" s="3"/>
      <c r="AB32" s="38"/>
      <c r="AC32" s="40" t="str">
        <f t="shared" ca="1" si="3"/>
        <v/>
      </c>
      <c r="AD32" s="37" t="str">
        <f t="shared" si="9"/>
        <v/>
      </c>
      <c r="AE32" s="54" t="str">
        <f t="shared" si="10"/>
        <v/>
      </c>
      <c r="AF32" s="66" t="str">
        <f t="shared" ca="1" si="4"/>
        <v/>
      </c>
      <c r="AG32" s="66" t="str">
        <f t="shared" ca="1" si="11"/>
        <v/>
      </c>
      <c r="AH32" s="66" t="str">
        <f t="shared" ca="1" si="5"/>
        <v/>
      </c>
      <c r="AI32" s="66" t="str">
        <f t="shared" ca="1" si="6"/>
        <v/>
      </c>
      <c r="AJ32" s="66">
        <f t="shared" ca="1" si="7"/>
        <v>0</v>
      </c>
      <c r="AK32" s="66" t="str">
        <f t="shared" ca="1" si="8"/>
        <v/>
      </c>
      <c r="AL32" s="66" t="e">
        <f ca="1">CHOOSE(AF32,FALSE,Data!DV$2,IF(Data!DP$2="Transport",FALSE,Data!DV$2),IF(Data!DP$2="Transport",FALSE,Data!DV$2),FALSE,FALSE,Data!DV$2)</f>
        <v>#VALUE!</v>
      </c>
      <c r="AM32" s="66" t="e">
        <f ca="1">CHOOSE(AF32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2" s="66" t="e">
        <f ca="1">IF(C32="Innovation","1159400",IF(C32="Gestion","1151000",IF(C32="OPTER","1151210",IF(AND(C32="Connaissances",D32="Écoconduite"),"1157170",IF(AND(C32="Conversion",D32="Bioénergies"),"1151240",IF(AND(C32="Conversion",D32="Solaires"),"1151202",INDEX(OFFSET(Type_Entreprise,,2,,),MATCH(#REF!,Type_Entreprise,0))))))))</f>
        <v>#REF!</v>
      </c>
      <c r="AO32"/>
      <c r="AP32"/>
    </row>
    <row r="33" spans="1:42" ht="15.75" customHeight="1" x14ac:dyDescent="0.2">
      <c r="A33" s="3"/>
      <c r="B33" s="4"/>
      <c r="C33" s="4" t="s">
        <v>245</v>
      </c>
      <c r="D33" s="4"/>
      <c r="E33" s="4" t="s">
        <v>245</v>
      </c>
      <c r="F33" s="4"/>
      <c r="G33" s="36" t="str">
        <f t="shared" ca="1" si="0"/>
        <v/>
      </c>
      <c r="H33" s="84"/>
      <c r="I33" s="38"/>
      <c r="J33" s="4"/>
      <c r="K33" s="57"/>
      <c r="L33" s="38"/>
      <c r="M33" s="55"/>
      <c r="N33" s="86"/>
      <c r="O33" s="37" t="str">
        <f t="shared" ca="1" si="1"/>
        <v/>
      </c>
      <c r="P33" s="40" t="str">
        <f t="shared" ca="1" si="2"/>
        <v/>
      </c>
      <c r="Q33" s="89">
        <v>0</v>
      </c>
      <c r="R33" s="89">
        <v>0</v>
      </c>
      <c r="S33" s="89">
        <v>0</v>
      </c>
      <c r="T33" s="90"/>
      <c r="U33" s="89"/>
      <c r="V33" s="3" t="s">
        <v>245</v>
      </c>
      <c r="W33" s="14"/>
      <c r="X33" s="14"/>
      <c r="Y33" s="93"/>
      <c r="Z33" s="93"/>
      <c r="AA33" s="3"/>
      <c r="AB33" s="38"/>
      <c r="AC33" s="40" t="str">
        <f t="shared" ca="1" si="3"/>
        <v/>
      </c>
      <c r="AD33" s="37" t="str">
        <f t="shared" si="9"/>
        <v/>
      </c>
      <c r="AE33" s="54" t="str">
        <f t="shared" si="10"/>
        <v/>
      </c>
      <c r="AF33" s="66" t="str">
        <f t="shared" ca="1" si="4"/>
        <v/>
      </c>
      <c r="AG33" s="66" t="str">
        <f t="shared" ca="1" si="11"/>
        <v/>
      </c>
      <c r="AH33" s="66" t="str">
        <f t="shared" ca="1" si="5"/>
        <v/>
      </c>
      <c r="AI33" s="66" t="str">
        <f t="shared" ca="1" si="6"/>
        <v/>
      </c>
      <c r="AJ33" s="66">
        <f t="shared" ca="1" si="7"/>
        <v>0</v>
      </c>
      <c r="AK33" s="66" t="str">
        <f t="shared" ca="1" si="8"/>
        <v/>
      </c>
      <c r="AL33" s="66" t="e">
        <f ca="1">CHOOSE(AF33,FALSE,Data!DV$2,IF(Data!DP$2="Transport",FALSE,Data!DV$2),IF(Data!DP$2="Transport",FALSE,Data!DV$2),FALSE,FALSE,Data!DV$2)</f>
        <v>#VALUE!</v>
      </c>
      <c r="AM33" s="66" t="e">
        <f ca="1">CHOOSE(AF33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3" s="66" t="e">
        <f ca="1">IF(C33="Innovation","1159400",IF(C33="Gestion","1151000",IF(C33="OPTER","1151210",IF(AND(C33="Connaissances",D33="Écoconduite"),"1157170",IF(AND(C33="Conversion",D33="Bioénergies"),"1151240",IF(AND(C33="Conversion",D33="Solaires"),"1151202",INDEX(OFFSET(Type_Entreprise,,2,,),MATCH(#REF!,Type_Entreprise,0))))))))</f>
        <v>#REF!</v>
      </c>
      <c r="AO33"/>
      <c r="AP33"/>
    </row>
    <row r="34" spans="1:42" ht="15.75" customHeight="1" x14ac:dyDescent="0.2">
      <c r="A34" s="3"/>
      <c r="B34" s="4"/>
      <c r="C34" s="4" t="s">
        <v>245</v>
      </c>
      <c r="D34" s="4"/>
      <c r="E34" s="4" t="s">
        <v>245</v>
      </c>
      <c r="F34" s="4"/>
      <c r="G34" s="36" t="str">
        <f t="shared" ca="1" si="0"/>
        <v/>
      </c>
      <c r="H34" s="84"/>
      <c r="I34" s="38"/>
      <c r="J34" s="4"/>
      <c r="K34" s="57"/>
      <c r="L34" s="38"/>
      <c r="M34" s="55"/>
      <c r="N34" s="86"/>
      <c r="O34" s="37" t="str">
        <f t="shared" ca="1" si="1"/>
        <v/>
      </c>
      <c r="P34" s="40" t="str">
        <f t="shared" ca="1" si="2"/>
        <v/>
      </c>
      <c r="Q34" s="89">
        <v>0</v>
      </c>
      <c r="R34" s="89">
        <v>0</v>
      </c>
      <c r="S34" s="89">
        <v>0</v>
      </c>
      <c r="T34" s="90"/>
      <c r="U34" s="89"/>
      <c r="V34" s="3" t="s">
        <v>245</v>
      </c>
      <c r="W34" s="14"/>
      <c r="X34" s="14"/>
      <c r="Y34" s="93"/>
      <c r="Z34" s="93"/>
      <c r="AA34" s="3"/>
      <c r="AB34" s="38"/>
      <c r="AC34" s="40" t="str">
        <f t="shared" ca="1" si="3"/>
        <v/>
      </c>
      <c r="AD34" s="37" t="str">
        <f t="shared" si="9"/>
        <v/>
      </c>
      <c r="AE34" s="54" t="str">
        <f t="shared" si="10"/>
        <v/>
      </c>
      <c r="AF34" s="66" t="str">
        <f t="shared" ca="1" si="4"/>
        <v/>
      </c>
      <c r="AG34" s="66" t="str">
        <f t="shared" ca="1" si="11"/>
        <v/>
      </c>
      <c r="AH34" s="66" t="str">
        <f t="shared" ca="1" si="5"/>
        <v/>
      </c>
      <c r="AI34" s="66" t="str">
        <f t="shared" ca="1" si="6"/>
        <v/>
      </c>
      <c r="AJ34" s="66">
        <f t="shared" ca="1" si="7"/>
        <v>0</v>
      </c>
      <c r="AK34" s="66" t="str">
        <f t="shared" ca="1" si="8"/>
        <v/>
      </c>
      <c r="AL34" s="66" t="e">
        <f ca="1">CHOOSE(AF34,FALSE,Data!DV$2,IF(Data!DP$2="Transport",FALSE,Data!DV$2),IF(Data!DP$2="Transport",FALSE,Data!DV$2),FALSE,FALSE,Data!DV$2)</f>
        <v>#VALUE!</v>
      </c>
      <c r="AM34" s="66" t="e">
        <f ca="1">CHOOSE(AF34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4" s="66" t="e">
        <f ca="1">IF(C34="Innovation","1159400",IF(C34="Gestion","1151000",IF(C34="OPTER","1151210",IF(AND(C34="Connaissances",D34="Écoconduite"),"1157170",IF(AND(C34="Conversion",D34="Bioénergies"),"1151240",IF(AND(C34="Conversion",D34="Solaires"),"1151202",INDEX(OFFSET(Type_Entreprise,,2,,),MATCH(#REF!,Type_Entreprise,0))))))))</f>
        <v>#REF!</v>
      </c>
      <c r="AO34"/>
      <c r="AP34"/>
    </row>
    <row r="35" spans="1:42" ht="15.75" customHeight="1" x14ac:dyDescent="0.2">
      <c r="A35" s="3"/>
      <c r="B35" s="4"/>
      <c r="C35" s="4" t="s">
        <v>245</v>
      </c>
      <c r="D35" s="4"/>
      <c r="E35" s="4" t="s">
        <v>245</v>
      </c>
      <c r="F35" s="4"/>
      <c r="G35" s="36" t="str">
        <f t="shared" ca="1" si="0"/>
        <v/>
      </c>
      <c r="H35" s="84"/>
      <c r="I35" s="38"/>
      <c r="J35" s="4"/>
      <c r="K35" s="57"/>
      <c r="L35" s="38"/>
      <c r="M35" s="55"/>
      <c r="N35" s="86"/>
      <c r="O35" s="37" t="str">
        <f t="shared" ca="1" si="1"/>
        <v/>
      </c>
      <c r="P35" s="40" t="str">
        <f t="shared" ca="1" si="2"/>
        <v/>
      </c>
      <c r="Q35" s="89">
        <v>0</v>
      </c>
      <c r="R35" s="89">
        <v>0</v>
      </c>
      <c r="S35" s="89">
        <v>0</v>
      </c>
      <c r="T35" s="90"/>
      <c r="U35" s="89"/>
      <c r="V35" s="3" t="s">
        <v>245</v>
      </c>
      <c r="W35" s="14"/>
      <c r="X35" s="14"/>
      <c r="Y35" s="93"/>
      <c r="Z35" s="93"/>
      <c r="AA35" s="3"/>
      <c r="AB35" s="38"/>
      <c r="AC35" s="40" t="str">
        <f t="shared" ca="1" si="3"/>
        <v/>
      </c>
      <c r="AD35" s="37" t="str">
        <f t="shared" si="9"/>
        <v/>
      </c>
      <c r="AE35" s="54" t="str">
        <f t="shared" si="10"/>
        <v/>
      </c>
      <c r="AF35" s="66" t="str">
        <f t="shared" ca="1" si="4"/>
        <v/>
      </c>
      <c r="AG35" s="66" t="str">
        <f t="shared" ca="1" si="11"/>
        <v/>
      </c>
      <c r="AH35" s="66" t="str">
        <f t="shared" ca="1" si="5"/>
        <v/>
      </c>
      <c r="AI35" s="66" t="str">
        <f t="shared" ca="1" si="6"/>
        <v/>
      </c>
      <c r="AJ35" s="66">
        <f t="shared" ca="1" si="7"/>
        <v>0</v>
      </c>
      <c r="AK35" s="66" t="str">
        <f t="shared" ca="1" si="8"/>
        <v/>
      </c>
      <c r="AL35" s="66" t="e">
        <f ca="1">CHOOSE(AF35,FALSE,Data!DV$2,IF(Data!DP$2="Transport",FALSE,Data!DV$2),IF(Data!DP$2="Transport",FALSE,Data!DV$2),FALSE,FALSE,Data!DV$2)</f>
        <v>#VALUE!</v>
      </c>
      <c r="AM35" s="66" t="e">
        <f ca="1">CHOOSE(AF35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5" s="66" t="e">
        <f ca="1">IF(C35="Innovation","1159400",IF(C35="Gestion","1151000",IF(C35="OPTER","1151210",IF(AND(C35="Connaissances",D35="Écoconduite"),"1157170",IF(AND(C35="Conversion",D35="Bioénergies"),"1151240",IF(AND(C35="Conversion",D35="Solaires"),"1151202",INDEX(OFFSET(Type_Entreprise,,2,,),MATCH(#REF!,Type_Entreprise,0))))))))</f>
        <v>#REF!</v>
      </c>
      <c r="AO35"/>
      <c r="AP35"/>
    </row>
    <row r="36" spans="1:42" ht="15.75" customHeight="1" x14ac:dyDescent="0.2">
      <c r="A36" s="3"/>
      <c r="B36" s="4"/>
      <c r="C36" s="4" t="s">
        <v>245</v>
      </c>
      <c r="D36" s="4"/>
      <c r="E36" s="4" t="s">
        <v>245</v>
      </c>
      <c r="F36" s="4"/>
      <c r="G36" s="36" t="str">
        <f t="shared" ca="1" si="0"/>
        <v/>
      </c>
      <c r="H36" s="84"/>
      <c r="I36" s="38"/>
      <c r="J36" s="4"/>
      <c r="K36" s="57"/>
      <c r="L36" s="38"/>
      <c r="M36" s="55"/>
      <c r="N36" s="86"/>
      <c r="O36" s="37" t="str">
        <f t="shared" ca="1" si="1"/>
        <v/>
      </c>
      <c r="P36" s="40" t="str">
        <f t="shared" ca="1" si="2"/>
        <v/>
      </c>
      <c r="Q36" s="89">
        <v>0</v>
      </c>
      <c r="R36" s="89">
        <v>0</v>
      </c>
      <c r="S36" s="89">
        <v>0</v>
      </c>
      <c r="T36" s="90"/>
      <c r="U36" s="89"/>
      <c r="V36" s="3" t="s">
        <v>245</v>
      </c>
      <c r="W36" s="14"/>
      <c r="X36" s="14"/>
      <c r="Y36" s="93"/>
      <c r="Z36" s="93"/>
      <c r="AA36" s="3"/>
      <c r="AB36" s="38"/>
      <c r="AC36" s="40" t="str">
        <f t="shared" ca="1" si="3"/>
        <v/>
      </c>
      <c r="AD36" s="37" t="str">
        <f t="shared" si="9"/>
        <v/>
      </c>
      <c r="AE36" s="54" t="str">
        <f t="shared" si="10"/>
        <v/>
      </c>
      <c r="AF36" s="66" t="str">
        <f t="shared" ca="1" si="4"/>
        <v/>
      </c>
      <c r="AG36" s="66" t="str">
        <f t="shared" ca="1" si="11"/>
        <v/>
      </c>
      <c r="AH36" s="66" t="str">
        <f t="shared" ca="1" si="5"/>
        <v/>
      </c>
      <c r="AI36" s="66" t="str">
        <f t="shared" ca="1" si="6"/>
        <v/>
      </c>
      <c r="AJ36" s="66">
        <f t="shared" ca="1" si="7"/>
        <v>0</v>
      </c>
      <c r="AK36" s="66" t="str">
        <f t="shared" ca="1" si="8"/>
        <v/>
      </c>
      <c r="AL36" s="66" t="e">
        <f ca="1">CHOOSE(AF36,FALSE,Data!DV$2,IF(Data!DP$2="Transport",FALSE,Data!DV$2),IF(Data!DP$2="Transport",FALSE,Data!DV$2),FALSE,FALSE,Data!DV$2)</f>
        <v>#VALUE!</v>
      </c>
      <c r="AM36" s="66" t="e">
        <f ca="1">CHOOSE(AF36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6" s="66" t="e">
        <f ca="1">IF(C36="Innovation","1159400",IF(C36="Gestion","1151000",IF(C36="OPTER","1151210",IF(AND(C36="Connaissances",D36="Écoconduite"),"1157170",IF(AND(C36="Conversion",D36="Bioénergies"),"1151240",IF(AND(C36="Conversion",D36="Solaires"),"1151202",INDEX(OFFSET(Type_Entreprise,,2,,),MATCH(#REF!,Type_Entreprise,0))))))))</f>
        <v>#REF!</v>
      </c>
      <c r="AO36"/>
      <c r="AP36"/>
    </row>
    <row r="37" spans="1:42" ht="15.75" customHeight="1" x14ac:dyDescent="0.2">
      <c r="A37" s="3"/>
      <c r="B37" s="4"/>
      <c r="C37" s="4" t="s">
        <v>245</v>
      </c>
      <c r="D37" s="4"/>
      <c r="E37" s="4" t="s">
        <v>245</v>
      </c>
      <c r="F37" s="4"/>
      <c r="G37" s="36" t="str">
        <f t="shared" ca="1" si="0"/>
        <v/>
      </c>
      <c r="H37" s="84"/>
      <c r="I37" s="38"/>
      <c r="J37" s="4"/>
      <c r="K37" s="57"/>
      <c r="L37" s="38"/>
      <c r="M37" s="55"/>
      <c r="N37" s="86"/>
      <c r="O37" s="37" t="str">
        <f t="shared" ca="1" si="1"/>
        <v/>
      </c>
      <c r="P37" s="40" t="str">
        <f t="shared" ca="1" si="2"/>
        <v/>
      </c>
      <c r="Q37" s="89">
        <v>0</v>
      </c>
      <c r="R37" s="89">
        <v>0</v>
      </c>
      <c r="S37" s="89">
        <v>0</v>
      </c>
      <c r="T37" s="90"/>
      <c r="U37" s="89"/>
      <c r="V37" s="3" t="s">
        <v>245</v>
      </c>
      <c r="W37" s="14"/>
      <c r="X37" s="14"/>
      <c r="Y37" s="93"/>
      <c r="Z37" s="93"/>
      <c r="AA37" s="3"/>
      <c r="AB37" s="38"/>
      <c r="AC37" s="40" t="str">
        <f t="shared" ca="1" si="3"/>
        <v/>
      </c>
      <c r="AD37" s="37" t="str">
        <f t="shared" si="9"/>
        <v/>
      </c>
      <c r="AE37" s="54" t="str">
        <f t="shared" si="10"/>
        <v/>
      </c>
      <c r="AF37" s="66" t="str">
        <f t="shared" ca="1" si="4"/>
        <v/>
      </c>
      <c r="AG37" s="66" t="str">
        <f t="shared" ca="1" si="11"/>
        <v/>
      </c>
      <c r="AH37" s="66" t="str">
        <f t="shared" ca="1" si="5"/>
        <v/>
      </c>
      <c r="AI37" s="66" t="str">
        <f t="shared" ca="1" si="6"/>
        <v/>
      </c>
      <c r="AJ37" s="66">
        <f t="shared" ca="1" si="7"/>
        <v>0</v>
      </c>
      <c r="AK37" s="66" t="str">
        <f t="shared" ca="1" si="8"/>
        <v/>
      </c>
      <c r="AL37" s="66" t="e">
        <f ca="1">CHOOSE(AF37,FALSE,Data!DV$2,IF(Data!DP$2="Transport",FALSE,Data!DV$2),IF(Data!DP$2="Transport",FALSE,Data!DV$2),FALSE,FALSE,Data!DV$2)</f>
        <v>#VALUE!</v>
      </c>
      <c r="AM37" s="66" t="e">
        <f ca="1">CHOOSE(AF37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7" s="66" t="e">
        <f ca="1">IF(C37="Innovation","1159400",IF(C37="Gestion","1151000",IF(C37="OPTER","1151210",IF(AND(C37="Connaissances",D37="Écoconduite"),"1157170",IF(AND(C37="Conversion",D37="Bioénergies"),"1151240",IF(AND(C37="Conversion",D37="Solaires"),"1151202",INDEX(OFFSET(Type_Entreprise,,2,,),MATCH(#REF!,Type_Entreprise,0))))))))</f>
        <v>#REF!</v>
      </c>
      <c r="AO37"/>
      <c r="AP37"/>
    </row>
    <row r="38" spans="1:42" ht="15.75" customHeight="1" x14ac:dyDescent="0.2">
      <c r="A38" s="3"/>
      <c r="B38" s="4"/>
      <c r="C38" s="4" t="s">
        <v>245</v>
      </c>
      <c r="D38" s="4"/>
      <c r="E38" s="4" t="s">
        <v>245</v>
      </c>
      <c r="F38" s="4"/>
      <c r="G38" s="36" t="str">
        <f t="shared" ca="1" si="0"/>
        <v/>
      </c>
      <c r="H38" s="84"/>
      <c r="I38" s="38"/>
      <c r="J38" s="4"/>
      <c r="K38" s="57"/>
      <c r="L38" s="38"/>
      <c r="M38" s="55"/>
      <c r="N38" s="86"/>
      <c r="O38" s="37" t="str">
        <f t="shared" ca="1" si="1"/>
        <v/>
      </c>
      <c r="P38" s="40" t="str">
        <f t="shared" ca="1" si="2"/>
        <v/>
      </c>
      <c r="Q38" s="89">
        <v>0</v>
      </c>
      <c r="R38" s="89">
        <v>0</v>
      </c>
      <c r="S38" s="89">
        <v>0</v>
      </c>
      <c r="T38" s="90"/>
      <c r="U38" s="89"/>
      <c r="V38" s="3" t="s">
        <v>245</v>
      </c>
      <c r="W38" s="14"/>
      <c r="X38" s="14"/>
      <c r="Y38" s="93"/>
      <c r="Z38" s="93"/>
      <c r="AA38" s="3"/>
      <c r="AB38" s="38"/>
      <c r="AC38" s="40" t="str">
        <f t="shared" ca="1" si="3"/>
        <v/>
      </c>
      <c r="AD38" s="37" t="str">
        <f t="shared" si="9"/>
        <v/>
      </c>
      <c r="AE38" s="54" t="str">
        <f t="shared" si="10"/>
        <v/>
      </c>
      <c r="AF38" s="66" t="str">
        <f t="shared" ca="1" si="4"/>
        <v/>
      </c>
      <c r="AG38" s="66" t="str">
        <f t="shared" ca="1" si="11"/>
        <v/>
      </c>
      <c r="AH38" s="66" t="str">
        <f t="shared" ca="1" si="5"/>
        <v/>
      </c>
      <c r="AI38" s="66" t="str">
        <f t="shared" ca="1" si="6"/>
        <v/>
      </c>
      <c r="AJ38" s="66">
        <f t="shared" ca="1" si="7"/>
        <v>0</v>
      </c>
      <c r="AK38" s="66" t="str">
        <f t="shared" ca="1" si="8"/>
        <v/>
      </c>
      <c r="AL38" s="66" t="e">
        <f ca="1">CHOOSE(AF38,FALSE,Data!DV$2,IF(Data!DP$2="Transport",FALSE,Data!DV$2),IF(Data!DP$2="Transport",FALSE,Data!DV$2),FALSE,FALSE,Data!DV$2)</f>
        <v>#VALUE!</v>
      </c>
      <c r="AM38" s="66" t="e">
        <f ca="1">CHOOSE(AF38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8" s="66" t="e">
        <f ca="1">IF(C38="Innovation","1159400",IF(C38="Gestion","1151000",IF(C38="OPTER","1151210",IF(AND(C38="Connaissances",D38="Écoconduite"),"1157170",IF(AND(C38="Conversion",D38="Bioénergies"),"1151240",IF(AND(C38="Conversion",D38="Solaires"),"1151202",INDEX(OFFSET(Type_Entreprise,,2,,),MATCH(#REF!,Type_Entreprise,0))))))))</f>
        <v>#REF!</v>
      </c>
      <c r="AO38"/>
      <c r="AP38"/>
    </row>
    <row r="39" spans="1:42" ht="15.75" customHeight="1" x14ac:dyDescent="0.2">
      <c r="A39" s="3"/>
      <c r="B39" s="4"/>
      <c r="C39" s="4" t="s">
        <v>245</v>
      </c>
      <c r="D39" s="4"/>
      <c r="E39" s="4" t="s">
        <v>245</v>
      </c>
      <c r="F39" s="4"/>
      <c r="G39" s="36" t="str">
        <f t="shared" ca="1" si="0"/>
        <v/>
      </c>
      <c r="H39" s="84"/>
      <c r="I39" s="38"/>
      <c r="J39" s="4"/>
      <c r="K39" s="57"/>
      <c r="L39" s="38"/>
      <c r="M39" s="55"/>
      <c r="N39" s="86"/>
      <c r="O39" s="37" t="str">
        <f t="shared" ca="1" si="1"/>
        <v/>
      </c>
      <c r="P39" s="40" t="str">
        <f t="shared" ca="1" si="2"/>
        <v/>
      </c>
      <c r="Q39" s="89">
        <v>0</v>
      </c>
      <c r="R39" s="89">
        <v>0</v>
      </c>
      <c r="S39" s="89">
        <v>0</v>
      </c>
      <c r="T39" s="90"/>
      <c r="U39" s="89"/>
      <c r="V39" s="3" t="s">
        <v>245</v>
      </c>
      <c r="W39" s="14"/>
      <c r="X39" s="14"/>
      <c r="Y39" s="93"/>
      <c r="Z39" s="93"/>
      <c r="AA39" s="3"/>
      <c r="AB39" s="38"/>
      <c r="AC39" s="40" t="str">
        <f t="shared" ca="1" si="3"/>
        <v/>
      </c>
      <c r="AD39" s="37" t="str">
        <f t="shared" si="9"/>
        <v/>
      </c>
      <c r="AE39" s="54" t="str">
        <f t="shared" si="10"/>
        <v/>
      </c>
      <c r="AF39" s="66" t="str">
        <f t="shared" ca="1" si="4"/>
        <v/>
      </c>
      <c r="AG39" s="66" t="str">
        <f t="shared" ca="1" si="11"/>
        <v/>
      </c>
      <c r="AH39" s="66" t="str">
        <f t="shared" ca="1" si="5"/>
        <v/>
      </c>
      <c r="AI39" s="66" t="str">
        <f t="shared" ca="1" si="6"/>
        <v/>
      </c>
      <c r="AJ39" s="66">
        <f t="shared" ca="1" si="7"/>
        <v>0</v>
      </c>
      <c r="AK39" s="66" t="str">
        <f t="shared" ca="1" si="8"/>
        <v/>
      </c>
      <c r="AL39" s="66" t="e">
        <f ca="1">CHOOSE(AF39,FALSE,Data!DV$2,IF(Data!DP$2="Transport",FALSE,Data!DV$2),IF(Data!DP$2="Transport",FALSE,Data!DV$2),FALSE,FALSE,Data!DV$2)</f>
        <v>#VALUE!</v>
      </c>
      <c r="AM39" s="66" t="e">
        <f ca="1">CHOOSE(AF39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39" s="66" t="e">
        <f ca="1">IF(C39="Innovation","1159400",IF(C39="Gestion","1151000",IF(C39="OPTER","1151210",IF(AND(C39="Connaissances",D39="Écoconduite"),"1157170",IF(AND(C39="Conversion",D39="Bioénergies"),"1151240",IF(AND(C39="Conversion",D39="Solaires"),"1151202",INDEX(OFFSET(Type_Entreprise,,2,,),MATCH(#REF!,Type_Entreprise,0))))))))</f>
        <v>#REF!</v>
      </c>
      <c r="AO39"/>
      <c r="AP39"/>
    </row>
    <row r="40" spans="1:42" ht="15.75" customHeight="1" x14ac:dyDescent="0.2">
      <c r="A40" s="3"/>
      <c r="B40" s="4"/>
      <c r="C40" s="4" t="s">
        <v>245</v>
      </c>
      <c r="D40" s="4"/>
      <c r="E40" s="4" t="s">
        <v>245</v>
      </c>
      <c r="F40" s="4"/>
      <c r="G40" s="36" t="str">
        <f t="shared" ca="1" si="0"/>
        <v/>
      </c>
      <c r="H40" s="84"/>
      <c r="I40" s="38"/>
      <c r="J40" s="4"/>
      <c r="K40" s="57"/>
      <c r="L40" s="38"/>
      <c r="M40" s="55"/>
      <c r="N40" s="86"/>
      <c r="O40" s="37" t="str">
        <f t="shared" ca="1" si="1"/>
        <v/>
      </c>
      <c r="P40" s="40" t="str">
        <f t="shared" ca="1" si="2"/>
        <v/>
      </c>
      <c r="Q40" s="89">
        <v>0</v>
      </c>
      <c r="R40" s="89">
        <v>0</v>
      </c>
      <c r="S40" s="89">
        <v>0</v>
      </c>
      <c r="T40" s="90"/>
      <c r="U40" s="89"/>
      <c r="V40" s="3" t="s">
        <v>245</v>
      </c>
      <c r="W40" s="14"/>
      <c r="X40" s="14"/>
      <c r="Y40" s="93"/>
      <c r="Z40" s="93"/>
      <c r="AA40" s="3"/>
      <c r="AB40" s="38"/>
      <c r="AC40" s="40" t="str">
        <f t="shared" ca="1" si="3"/>
        <v/>
      </c>
      <c r="AD40" s="37" t="str">
        <f t="shared" si="9"/>
        <v/>
      </c>
      <c r="AE40" s="54" t="str">
        <f t="shared" si="10"/>
        <v/>
      </c>
      <c r="AF40" s="66" t="str">
        <f t="shared" ca="1" si="4"/>
        <v/>
      </c>
      <c r="AG40" s="66" t="str">
        <f t="shared" ca="1" si="11"/>
        <v/>
      </c>
      <c r="AH40" s="66" t="str">
        <f t="shared" ca="1" si="5"/>
        <v/>
      </c>
      <c r="AI40" s="66" t="str">
        <f t="shared" ca="1" si="6"/>
        <v/>
      </c>
      <c r="AJ40" s="66">
        <f t="shared" ca="1" si="7"/>
        <v>0</v>
      </c>
      <c r="AK40" s="66" t="str">
        <f t="shared" ca="1" si="8"/>
        <v/>
      </c>
      <c r="AL40" s="66" t="e">
        <f ca="1">CHOOSE(AF40,FALSE,Data!DV$2,IF(Data!DP$2="Transport",FALSE,Data!DV$2),IF(Data!DP$2="Transport",FALSE,Data!DV$2),FALSE,FALSE,Data!DV$2)</f>
        <v>#VALUE!</v>
      </c>
      <c r="AM40" s="66" t="e">
        <f ca="1">CHOOSE(AF40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0" s="66" t="e">
        <f ca="1">IF(C40="Innovation","1159400",IF(C40="Gestion","1151000",IF(C40="OPTER","1151210",IF(AND(C40="Connaissances",D40="Écoconduite"),"1157170",IF(AND(C40="Conversion",D40="Bioénergies"),"1151240",IF(AND(C40="Conversion",D40="Solaires"),"1151202",INDEX(OFFSET(Type_Entreprise,,2,,),MATCH(#REF!,Type_Entreprise,0))))))))</f>
        <v>#REF!</v>
      </c>
      <c r="AO40"/>
      <c r="AP40"/>
    </row>
    <row r="41" spans="1:42" ht="15.75" customHeight="1" x14ac:dyDescent="0.2">
      <c r="A41" s="3"/>
      <c r="B41" s="4"/>
      <c r="C41" s="4" t="s">
        <v>245</v>
      </c>
      <c r="D41" s="4"/>
      <c r="E41" s="4" t="s">
        <v>245</v>
      </c>
      <c r="F41" s="4"/>
      <c r="G41" s="36" t="str">
        <f t="shared" ca="1" si="0"/>
        <v/>
      </c>
      <c r="H41" s="84"/>
      <c r="I41" s="38"/>
      <c r="J41" s="4"/>
      <c r="K41" s="57"/>
      <c r="L41" s="38"/>
      <c r="M41" s="55"/>
      <c r="N41" s="86"/>
      <c r="O41" s="37" t="str">
        <f t="shared" ca="1" si="1"/>
        <v/>
      </c>
      <c r="P41" s="40" t="str">
        <f t="shared" ca="1" si="2"/>
        <v/>
      </c>
      <c r="Q41" s="89">
        <v>0</v>
      </c>
      <c r="R41" s="89">
        <v>0</v>
      </c>
      <c r="S41" s="89">
        <v>0</v>
      </c>
      <c r="T41" s="90"/>
      <c r="U41" s="89"/>
      <c r="V41" s="3" t="s">
        <v>245</v>
      </c>
      <c r="W41" s="14"/>
      <c r="X41" s="14"/>
      <c r="Y41" s="93"/>
      <c r="Z41" s="93"/>
      <c r="AA41" s="3"/>
      <c r="AB41" s="38"/>
      <c r="AC41" s="40" t="str">
        <f t="shared" ca="1" si="3"/>
        <v/>
      </c>
      <c r="AD41" s="37" t="str">
        <f t="shared" si="9"/>
        <v/>
      </c>
      <c r="AE41" s="54" t="str">
        <f t="shared" si="10"/>
        <v/>
      </c>
      <c r="AF41" s="66" t="str">
        <f t="shared" ca="1" si="4"/>
        <v/>
      </c>
      <c r="AG41" s="66" t="str">
        <f t="shared" ca="1" si="11"/>
        <v/>
      </c>
      <c r="AH41" s="66" t="str">
        <f t="shared" ca="1" si="5"/>
        <v/>
      </c>
      <c r="AI41" s="66" t="str">
        <f t="shared" ca="1" si="6"/>
        <v/>
      </c>
      <c r="AJ41" s="66">
        <f t="shared" ca="1" si="7"/>
        <v>0</v>
      </c>
      <c r="AK41" s="66" t="str">
        <f t="shared" ca="1" si="8"/>
        <v/>
      </c>
      <c r="AL41" s="66" t="e">
        <f ca="1">CHOOSE(AF41,FALSE,Data!DV$2,IF(Data!DP$2="Transport",FALSE,Data!DV$2),IF(Data!DP$2="Transport",FALSE,Data!DV$2),FALSE,FALSE,Data!DV$2)</f>
        <v>#VALUE!</v>
      </c>
      <c r="AM41" s="66" t="e">
        <f ca="1">CHOOSE(AF41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1" s="66" t="e">
        <f ca="1">IF(C41="Innovation","1159400",IF(C41="Gestion","1151000",IF(C41="OPTER","1151210",IF(AND(C41="Connaissances",D41="Écoconduite"),"1157170",IF(AND(C41="Conversion",D41="Bioénergies"),"1151240",IF(AND(C41="Conversion",D41="Solaires"),"1151202",INDEX(OFFSET(Type_Entreprise,,2,,),MATCH(#REF!,Type_Entreprise,0))))))))</f>
        <v>#REF!</v>
      </c>
      <c r="AO41"/>
      <c r="AP41"/>
    </row>
    <row r="42" spans="1:42" ht="15.75" customHeight="1" x14ac:dyDescent="0.2">
      <c r="A42" s="3"/>
      <c r="B42" s="4"/>
      <c r="C42" s="4" t="s">
        <v>245</v>
      </c>
      <c r="D42" s="4"/>
      <c r="E42" s="4" t="s">
        <v>245</v>
      </c>
      <c r="F42" s="4"/>
      <c r="G42" s="36" t="str">
        <f t="shared" ca="1" si="0"/>
        <v/>
      </c>
      <c r="H42" s="84"/>
      <c r="I42" s="38"/>
      <c r="J42" s="4"/>
      <c r="K42" s="57"/>
      <c r="L42" s="38"/>
      <c r="M42" s="55"/>
      <c r="N42" s="86"/>
      <c r="O42" s="37" t="str">
        <f t="shared" ca="1" si="1"/>
        <v/>
      </c>
      <c r="P42" s="40" t="str">
        <f t="shared" ca="1" si="2"/>
        <v/>
      </c>
      <c r="Q42" s="89">
        <v>0</v>
      </c>
      <c r="R42" s="89">
        <v>0</v>
      </c>
      <c r="S42" s="89">
        <v>0</v>
      </c>
      <c r="T42" s="90"/>
      <c r="U42" s="89"/>
      <c r="V42" s="3" t="s">
        <v>245</v>
      </c>
      <c r="W42" s="14"/>
      <c r="X42" s="14"/>
      <c r="Y42" s="93"/>
      <c r="Z42" s="93"/>
      <c r="AA42" s="3"/>
      <c r="AB42" s="38"/>
      <c r="AC42" s="40" t="str">
        <f t="shared" ca="1" si="3"/>
        <v/>
      </c>
      <c r="AD42" s="37" t="str">
        <f t="shared" si="9"/>
        <v/>
      </c>
      <c r="AE42" s="54" t="str">
        <f t="shared" si="10"/>
        <v/>
      </c>
      <c r="AF42" s="66" t="str">
        <f t="shared" ca="1" si="4"/>
        <v/>
      </c>
      <c r="AG42" s="66" t="str">
        <f t="shared" ca="1" si="11"/>
        <v/>
      </c>
      <c r="AH42" s="66" t="str">
        <f t="shared" ca="1" si="5"/>
        <v/>
      </c>
      <c r="AI42" s="66" t="str">
        <f t="shared" ca="1" si="6"/>
        <v/>
      </c>
      <c r="AJ42" s="66">
        <f t="shared" ca="1" si="7"/>
        <v>0</v>
      </c>
      <c r="AK42" s="66" t="str">
        <f t="shared" ca="1" si="8"/>
        <v/>
      </c>
      <c r="AL42" s="66" t="e">
        <f ca="1">CHOOSE(AF42,FALSE,Data!DV$2,IF(Data!DP$2="Transport",FALSE,Data!DV$2),IF(Data!DP$2="Transport",FALSE,Data!DV$2),FALSE,FALSE,Data!DV$2)</f>
        <v>#VALUE!</v>
      </c>
      <c r="AM42" s="66" t="e">
        <f ca="1">CHOOSE(AF42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2" s="66" t="e">
        <f ca="1">IF(C42="Innovation","1159400",IF(C42="Gestion","1151000",IF(C42="OPTER","1151210",IF(AND(C42="Connaissances",D42="Écoconduite"),"1157170",IF(AND(C42="Conversion",D42="Bioénergies"),"1151240",IF(AND(C42="Conversion",D42="Solaires"),"1151202",INDEX(OFFSET(Type_Entreprise,,2,,),MATCH(#REF!,Type_Entreprise,0))))))))</f>
        <v>#REF!</v>
      </c>
      <c r="AO42"/>
      <c r="AP42"/>
    </row>
    <row r="43" spans="1:42" ht="15.75" customHeight="1" x14ac:dyDescent="0.2">
      <c r="A43" s="3"/>
      <c r="B43" s="4"/>
      <c r="C43" s="4" t="s">
        <v>245</v>
      </c>
      <c r="D43" s="4"/>
      <c r="E43" s="4" t="s">
        <v>245</v>
      </c>
      <c r="F43" s="4"/>
      <c r="G43" s="36" t="str">
        <f t="shared" ca="1" si="0"/>
        <v/>
      </c>
      <c r="H43" s="84"/>
      <c r="I43" s="38"/>
      <c r="J43" s="4"/>
      <c r="K43" s="57"/>
      <c r="L43" s="38"/>
      <c r="M43" s="55"/>
      <c r="N43" s="86"/>
      <c r="O43" s="37" t="str">
        <f t="shared" ca="1" si="1"/>
        <v/>
      </c>
      <c r="P43" s="40" t="str">
        <f t="shared" ca="1" si="2"/>
        <v/>
      </c>
      <c r="Q43" s="89">
        <v>0</v>
      </c>
      <c r="R43" s="89">
        <v>0</v>
      </c>
      <c r="S43" s="89">
        <v>0</v>
      </c>
      <c r="T43" s="90"/>
      <c r="U43" s="89"/>
      <c r="V43" s="3" t="s">
        <v>245</v>
      </c>
      <c r="W43" s="14"/>
      <c r="X43" s="14"/>
      <c r="Y43" s="93"/>
      <c r="Z43" s="93"/>
      <c r="AA43" s="3"/>
      <c r="AB43" s="38"/>
      <c r="AC43" s="40" t="str">
        <f t="shared" ca="1" si="3"/>
        <v/>
      </c>
      <c r="AD43" s="37" t="str">
        <f t="shared" si="9"/>
        <v/>
      </c>
      <c r="AE43" s="54" t="str">
        <f t="shared" si="10"/>
        <v/>
      </c>
      <c r="AF43" s="66" t="str">
        <f t="shared" ca="1" si="4"/>
        <v/>
      </c>
      <c r="AG43" s="66" t="str">
        <f t="shared" ca="1" si="11"/>
        <v/>
      </c>
      <c r="AH43" s="66" t="str">
        <f t="shared" ca="1" si="5"/>
        <v/>
      </c>
      <c r="AI43" s="66" t="str">
        <f t="shared" ca="1" si="6"/>
        <v/>
      </c>
      <c r="AJ43" s="66">
        <f t="shared" ca="1" si="7"/>
        <v>0</v>
      </c>
      <c r="AK43" s="66" t="str">
        <f t="shared" ca="1" si="8"/>
        <v/>
      </c>
      <c r="AL43" s="66" t="e">
        <f ca="1">CHOOSE(AF43,FALSE,Data!DV$2,IF(Data!DP$2="Transport",FALSE,Data!DV$2),IF(Data!DP$2="Transport",FALSE,Data!DV$2),FALSE,FALSE,Data!DV$2)</f>
        <v>#VALUE!</v>
      </c>
      <c r="AM43" s="66" t="e">
        <f ca="1">CHOOSE(AF43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3" s="66" t="e">
        <f ca="1">IF(C43="Innovation","1159400",IF(C43="Gestion","1151000",IF(C43="OPTER","1151210",IF(AND(C43="Connaissances",D43="Écoconduite"),"1157170",IF(AND(C43="Conversion",D43="Bioénergies"),"1151240",IF(AND(C43="Conversion",D43="Solaires"),"1151202",INDEX(OFFSET(Type_Entreprise,,2,,),MATCH(#REF!,Type_Entreprise,0))))))))</f>
        <v>#REF!</v>
      </c>
      <c r="AO43"/>
      <c r="AP43"/>
    </row>
    <row r="44" spans="1:42" ht="15.75" customHeight="1" x14ac:dyDescent="0.2">
      <c r="A44" s="3"/>
      <c r="B44" s="4"/>
      <c r="C44" s="4" t="s">
        <v>245</v>
      </c>
      <c r="D44" s="4"/>
      <c r="E44" s="4" t="s">
        <v>245</v>
      </c>
      <c r="F44" s="4"/>
      <c r="G44" s="36" t="str">
        <f t="shared" ca="1" si="0"/>
        <v/>
      </c>
      <c r="H44" s="84"/>
      <c r="I44" s="38"/>
      <c r="J44" s="4"/>
      <c r="K44" s="57"/>
      <c r="L44" s="38"/>
      <c r="M44" s="55"/>
      <c r="N44" s="86"/>
      <c r="O44" s="37" t="str">
        <f t="shared" ca="1" si="1"/>
        <v/>
      </c>
      <c r="P44" s="40" t="str">
        <f t="shared" ca="1" si="2"/>
        <v/>
      </c>
      <c r="Q44" s="89">
        <v>0</v>
      </c>
      <c r="R44" s="89">
        <v>0</v>
      </c>
      <c r="S44" s="89">
        <v>0</v>
      </c>
      <c r="T44" s="90"/>
      <c r="U44" s="89"/>
      <c r="V44" s="3" t="s">
        <v>245</v>
      </c>
      <c r="W44" s="14"/>
      <c r="X44" s="14"/>
      <c r="Y44" s="93"/>
      <c r="Z44" s="93"/>
      <c r="AA44" s="3"/>
      <c r="AB44" s="38"/>
      <c r="AC44" s="40" t="str">
        <f t="shared" ca="1" si="3"/>
        <v/>
      </c>
      <c r="AD44" s="37" t="str">
        <f t="shared" si="9"/>
        <v/>
      </c>
      <c r="AE44" s="54" t="str">
        <f t="shared" si="10"/>
        <v/>
      </c>
      <c r="AF44" s="66" t="str">
        <f t="shared" ca="1" si="4"/>
        <v/>
      </c>
      <c r="AG44" s="66" t="str">
        <f t="shared" ca="1" si="11"/>
        <v/>
      </c>
      <c r="AH44" s="66" t="str">
        <f t="shared" ca="1" si="5"/>
        <v/>
      </c>
      <c r="AI44" s="66" t="str">
        <f t="shared" ca="1" si="6"/>
        <v/>
      </c>
      <c r="AJ44" s="66">
        <f t="shared" ca="1" si="7"/>
        <v>0</v>
      </c>
      <c r="AK44" s="66" t="str">
        <f t="shared" ca="1" si="8"/>
        <v/>
      </c>
      <c r="AL44" s="66" t="e">
        <f ca="1">CHOOSE(AF44,FALSE,Data!DV$2,IF(Data!DP$2="Transport",FALSE,Data!DV$2),IF(Data!DP$2="Transport",FALSE,Data!DV$2),FALSE,FALSE,Data!DV$2)</f>
        <v>#VALUE!</v>
      </c>
      <c r="AM44" s="66" t="e">
        <f ca="1">CHOOSE(AF44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4" s="66" t="e">
        <f ca="1">IF(C44="Innovation","1159400",IF(C44="Gestion","1151000",IF(C44="OPTER","1151210",IF(AND(C44="Connaissances",D44="Écoconduite"),"1157170",IF(AND(C44="Conversion",D44="Bioénergies"),"1151240",IF(AND(C44="Conversion",D44="Solaires"),"1151202",INDEX(OFFSET(Type_Entreprise,,2,,),MATCH(#REF!,Type_Entreprise,0))))))))</f>
        <v>#REF!</v>
      </c>
      <c r="AO44"/>
      <c r="AP44"/>
    </row>
    <row r="45" spans="1:42" ht="15.75" customHeight="1" x14ac:dyDescent="0.2">
      <c r="A45" s="3"/>
      <c r="B45" s="4"/>
      <c r="C45" s="4" t="s">
        <v>245</v>
      </c>
      <c r="D45" s="4"/>
      <c r="E45" s="4" t="s">
        <v>245</v>
      </c>
      <c r="F45" s="4"/>
      <c r="G45" s="36" t="str">
        <f t="shared" ca="1" si="0"/>
        <v/>
      </c>
      <c r="H45" s="84"/>
      <c r="I45" s="38"/>
      <c r="J45" s="4"/>
      <c r="K45" s="57"/>
      <c r="L45" s="38"/>
      <c r="M45" s="55"/>
      <c r="N45" s="86"/>
      <c r="O45" s="37" t="str">
        <f t="shared" ca="1" si="1"/>
        <v/>
      </c>
      <c r="P45" s="40" t="str">
        <f t="shared" ca="1" si="2"/>
        <v/>
      </c>
      <c r="Q45" s="89">
        <v>0</v>
      </c>
      <c r="R45" s="89">
        <v>0</v>
      </c>
      <c r="S45" s="89">
        <v>0</v>
      </c>
      <c r="T45" s="90"/>
      <c r="U45" s="89"/>
      <c r="V45" s="3" t="s">
        <v>245</v>
      </c>
      <c r="W45" s="14"/>
      <c r="X45" s="14"/>
      <c r="Y45" s="93"/>
      <c r="Z45" s="93"/>
      <c r="AA45" s="3"/>
      <c r="AB45" s="38"/>
      <c r="AC45" s="40" t="str">
        <f t="shared" ca="1" si="3"/>
        <v/>
      </c>
      <c r="AD45" s="37" t="str">
        <f t="shared" si="9"/>
        <v/>
      </c>
      <c r="AE45" s="54" t="str">
        <f t="shared" si="10"/>
        <v/>
      </c>
      <c r="AF45" s="66" t="str">
        <f t="shared" ca="1" si="4"/>
        <v/>
      </c>
      <c r="AG45" s="66" t="str">
        <f t="shared" ca="1" si="11"/>
        <v/>
      </c>
      <c r="AH45" s="66" t="str">
        <f t="shared" ca="1" si="5"/>
        <v/>
      </c>
      <c r="AI45" s="66" t="str">
        <f t="shared" ca="1" si="6"/>
        <v/>
      </c>
      <c r="AJ45" s="66">
        <f t="shared" ca="1" si="7"/>
        <v>0</v>
      </c>
      <c r="AK45" s="66" t="str">
        <f t="shared" ca="1" si="8"/>
        <v/>
      </c>
      <c r="AL45" s="66" t="e">
        <f ca="1">CHOOSE(AF45,FALSE,Data!DV$2,IF(Data!DP$2="Transport",FALSE,Data!DV$2),IF(Data!DP$2="Transport",FALSE,Data!DV$2),FALSE,FALSE,Data!DV$2)</f>
        <v>#VALUE!</v>
      </c>
      <c r="AM45" s="66" t="e">
        <f ca="1">CHOOSE(AF45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5" s="66" t="e">
        <f ca="1">IF(C45="Innovation","1159400",IF(C45="Gestion","1151000",IF(C45="OPTER","1151210",IF(AND(C45="Connaissances",D45="Écoconduite"),"1157170",IF(AND(C45="Conversion",D45="Bioénergies"),"1151240",IF(AND(C45="Conversion",D45="Solaires"),"1151202",INDEX(OFFSET(Type_Entreprise,,2,,),MATCH(#REF!,Type_Entreprise,0))))))))</f>
        <v>#REF!</v>
      </c>
      <c r="AO45"/>
      <c r="AP45"/>
    </row>
    <row r="46" spans="1:42" ht="15.75" customHeight="1" x14ac:dyDescent="0.2">
      <c r="A46" s="3"/>
      <c r="B46" s="4"/>
      <c r="C46" s="4" t="s">
        <v>245</v>
      </c>
      <c r="D46" s="4"/>
      <c r="E46" s="4" t="s">
        <v>245</v>
      </c>
      <c r="F46" s="4"/>
      <c r="G46" s="36" t="str">
        <f t="shared" ca="1" si="0"/>
        <v/>
      </c>
      <c r="H46" s="84"/>
      <c r="I46" s="38"/>
      <c r="J46" s="4"/>
      <c r="K46" s="57"/>
      <c r="L46" s="38"/>
      <c r="M46" s="55"/>
      <c r="N46" s="86"/>
      <c r="O46" s="37" t="str">
        <f t="shared" ca="1" si="1"/>
        <v/>
      </c>
      <c r="P46" s="40" t="str">
        <f t="shared" ca="1" si="2"/>
        <v/>
      </c>
      <c r="Q46" s="89">
        <v>0</v>
      </c>
      <c r="R46" s="89">
        <v>0</v>
      </c>
      <c r="S46" s="89">
        <v>0</v>
      </c>
      <c r="T46" s="90"/>
      <c r="U46" s="89"/>
      <c r="V46" s="3" t="s">
        <v>245</v>
      </c>
      <c r="W46" s="14"/>
      <c r="X46" s="14"/>
      <c r="Y46" s="93"/>
      <c r="Z46" s="93"/>
      <c r="AA46" s="3"/>
      <c r="AB46" s="38"/>
      <c r="AC46" s="40" t="str">
        <f t="shared" ca="1" si="3"/>
        <v/>
      </c>
      <c r="AD46" s="37" t="str">
        <f t="shared" si="9"/>
        <v/>
      </c>
      <c r="AE46" s="54" t="str">
        <f t="shared" si="10"/>
        <v/>
      </c>
      <c r="AF46" s="66" t="str">
        <f t="shared" ca="1" si="4"/>
        <v/>
      </c>
      <c r="AG46" s="66" t="str">
        <f t="shared" ca="1" si="11"/>
        <v/>
      </c>
      <c r="AH46" s="66" t="str">
        <f t="shared" ca="1" si="5"/>
        <v/>
      </c>
      <c r="AI46" s="66" t="str">
        <f t="shared" ca="1" si="6"/>
        <v/>
      </c>
      <c r="AJ46" s="66">
        <f t="shared" ca="1" si="7"/>
        <v>0</v>
      </c>
      <c r="AK46" s="66" t="str">
        <f t="shared" ca="1" si="8"/>
        <v/>
      </c>
      <c r="AL46" s="66" t="e">
        <f ca="1">CHOOSE(AF46,FALSE,Data!DV$2,IF(Data!DP$2="Transport",FALSE,Data!DV$2),IF(Data!DP$2="Transport",FALSE,Data!DV$2),FALSE,FALSE,Data!DV$2)</f>
        <v>#VALUE!</v>
      </c>
      <c r="AM46" s="66" t="e">
        <f ca="1">CHOOSE(AF46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6" s="66" t="e">
        <f ca="1">IF(C46="Innovation","1159400",IF(C46="Gestion","1151000",IF(C46="OPTER","1151210",IF(AND(C46="Connaissances",D46="Écoconduite"),"1157170",IF(AND(C46="Conversion",D46="Bioénergies"),"1151240",IF(AND(C46="Conversion",D46="Solaires"),"1151202",INDEX(OFFSET(Type_Entreprise,,2,,),MATCH(#REF!,Type_Entreprise,0))))))))</f>
        <v>#REF!</v>
      </c>
      <c r="AO46"/>
      <c r="AP46"/>
    </row>
    <row r="47" spans="1:42" ht="15.75" customHeight="1" x14ac:dyDescent="0.2">
      <c r="A47" s="3"/>
      <c r="B47" s="4"/>
      <c r="C47" s="4" t="s">
        <v>245</v>
      </c>
      <c r="D47" s="4"/>
      <c r="E47" s="4" t="s">
        <v>245</v>
      </c>
      <c r="F47" s="4"/>
      <c r="G47" s="36" t="str">
        <f t="shared" ca="1" si="0"/>
        <v/>
      </c>
      <c r="H47" s="84"/>
      <c r="I47" s="38"/>
      <c r="J47" s="4"/>
      <c r="K47" s="57"/>
      <c r="L47" s="38"/>
      <c r="M47" s="55"/>
      <c r="N47" s="86"/>
      <c r="O47" s="37" t="str">
        <f t="shared" ca="1" si="1"/>
        <v/>
      </c>
      <c r="P47" s="40" t="str">
        <f t="shared" ca="1" si="2"/>
        <v/>
      </c>
      <c r="Q47" s="89">
        <v>0</v>
      </c>
      <c r="R47" s="89">
        <v>0</v>
      </c>
      <c r="S47" s="89">
        <v>0</v>
      </c>
      <c r="T47" s="90"/>
      <c r="U47" s="89"/>
      <c r="V47" s="3" t="s">
        <v>245</v>
      </c>
      <c r="W47" s="14"/>
      <c r="X47" s="14"/>
      <c r="Y47" s="93"/>
      <c r="Z47" s="93"/>
      <c r="AA47" s="3"/>
      <c r="AB47" s="38"/>
      <c r="AC47" s="40" t="str">
        <f t="shared" ca="1" si="3"/>
        <v/>
      </c>
      <c r="AD47" s="37" t="str">
        <f t="shared" si="9"/>
        <v/>
      </c>
      <c r="AE47" s="54" t="str">
        <f t="shared" si="10"/>
        <v/>
      </c>
      <c r="AF47" s="66" t="str">
        <f t="shared" ca="1" si="4"/>
        <v/>
      </c>
      <c r="AG47" s="66" t="str">
        <f t="shared" ca="1" si="11"/>
        <v/>
      </c>
      <c r="AH47" s="66" t="str">
        <f t="shared" ca="1" si="5"/>
        <v/>
      </c>
      <c r="AI47" s="66" t="str">
        <f t="shared" ca="1" si="6"/>
        <v/>
      </c>
      <c r="AJ47" s="66">
        <f t="shared" ca="1" si="7"/>
        <v>0</v>
      </c>
      <c r="AK47" s="66" t="str">
        <f t="shared" ca="1" si="8"/>
        <v/>
      </c>
      <c r="AL47" s="66" t="e">
        <f ca="1">CHOOSE(AF47,FALSE,Data!DV$2,IF(Data!DP$2="Transport",FALSE,Data!DV$2),IF(Data!DP$2="Transport",FALSE,Data!DV$2),FALSE,FALSE,Data!DV$2)</f>
        <v>#VALUE!</v>
      </c>
      <c r="AM47" s="66" t="e">
        <f ca="1">CHOOSE(AF47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7" s="66" t="e">
        <f ca="1">IF(C47="Innovation","1159400",IF(C47="Gestion","1151000",IF(C47="OPTER","1151210",IF(AND(C47="Connaissances",D47="Écoconduite"),"1157170",IF(AND(C47="Conversion",D47="Bioénergies"),"1151240",IF(AND(C47="Conversion",D47="Solaires"),"1151202",INDEX(OFFSET(Type_Entreprise,,2,,),MATCH(#REF!,Type_Entreprise,0))))))))</f>
        <v>#REF!</v>
      </c>
      <c r="AO47"/>
      <c r="AP47"/>
    </row>
    <row r="48" spans="1:42" ht="15.75" customHeight="1" x14ac:dyDescent="0.2">
      <c r="A48" s="3"/>
      <c r="B48" s="4"/>
      <c r="C48" s="4" t="s">
        <v>245</v>
      </c>
      <c r="D48" s="4"/>
      <c r="E48" s="4" t="s">
        <v>245</v>
      </c>
      <c r="F48" s="4"/>
      <c r="G48" s="36" t="str">
        <f t="shared" ca="1" si="0"/>
        <v/>
      </c>
      <c r="H48" s="84"/>
      <c r="I48" s="38"/>
      <c r="J48" s="4"/>
      <c r="K48" s="57"/>
      <c r="L48" s="38"/>
      <c r="M48" s="55"/>
      <c r="N48" s="86"/>
      <c r="O48" s="37" t="str">
        <f t="shared" ca="1" si="1"/>
        <v/>
      </c>
      <c r="P48" s="40" t="str">
        <f t="shared" ca="1" si="2"/>
        <v/>
      </c>
      <c r="Q48" s="89">
        <v>0</v>
      </c>
      <c r="R48" s="89">
        <v>0</v>
      </c>
      <c r="S48" s="89">
        <v>0</v>
      </c>
      <c r="T48" s="90"/>
      <c r="U48" s="89"/>
      <c r="V48" s="3" t="s">
        <v>245</v>
      </c>
      <c r="W48" s="14"/>
      <c r="X48" s="14"/>
      <c r="Y48" s="93"/>
      <c r="Z48" s="93"/>
      <c r="AA48" s="3"/>
      <c r="AB48" s="38"/>
      <c r="AC48" s="40" t="str">
        <f t="shared" ca="1" si="3"/>
        <v/>
      </c>
      <c r="AD48" s="37" t="str">
        <f t="shared" si="9"/>
        <v/>
      </c>
      <c r="AE48" s="54" t="str">
        <f t="shared" si="10"/>
        <v/>
      </c>
      <c r="AF48" s="66" t="str">
        <f t="shared" ca="1" si="4"/>
        <v/>
      </c>
      <c r="AG48" s="66" t="str">
        <f t="shared" ca="1" si="11"/>
        <v/>
      </c>
      <c r="AH48" s="66" t="str">
        <f t="shared" ca="1" si="5"/>
        <v/>
      </c>
      <c r="AI48" s="66" t="str">
        <f t="shared" ca="1" si="6"/>
        <v/>
      </c>
      <c r="AJ48" s="66">
        <f t="shared" ca="1" si="7"/>
        <v>0</v>
      </c>
      <c r="AK48" s="66" t="str">
        <f t="shared" ca="1" si="8"/>
        <v/>
      </c>
      <c r="AL48" s="66" t="e">
        <f ca="1">CHOOSE(AF48,FALSE,Data!DV$2,IF(Data!DP$2="Transport",FALSE,Data!DV$2),IF(Data!DP$2="Transport",FALSE,Data!DV$2),FALSE,FALSE,Data!DV$2)</f>
        <v>#VALUE!</v>
      </c>
      <c r="AM48" s="66" t="e">
        <f ca="1">CHOOSE(AF48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8" s="66" t="e">
        <f ca="1">IF(C48="Innovation","1159400",IF(C48="Gestion","1151000",IF(C48="OPTER","1151210",IF(AND(C48="Connaissances",D48="Écoconduite"),"1157170",IF(AND(C48="Conversion",D48="Bioénergies"),"1151240",IF(AND(C48="Conversion",D48="Solaires"),"1151202",INDEX(OFFSET(Type_Entreprise,,2,,),MATCH(#REF!,Type_Entreprise,0))))))))</f>
        <v>#REF!</v>
      </c>
      <c r="AO48"/>
      <c r="AP48"/>
    </row>
    <row r="49" spans="1:42" ht="15.75" customHeight="1" thickBot="1" x14ac:dyDescent="0.25">
      <c r="A49" s="5"/>
      <c r="B49" s="6"/>
      <c r="C49" s="4" t="s">
        <v>245</v>
      </c>
      <c r="D49" s="4"/>
      <c r="E49" s="4" t="s">
        <v>245</v>
      </c>
      <c r="F49" s="4"/>
      <c r="G49" s="36" t="str">
        <f t="shared" ca="1" si="0"/>
        <v/>
      </c>
      <c r="H49" s="84"/>
      <c r="I49" s="39"/>
      <c r="J49" s="6"/>
      <c r="K49" s="58"/>
      <c r="L49" s="39"/>
      <c r="M49" s="56"/>
      <c r="N49" s="87"/>
      <c r="O49" s="37" t="str">
        <f t="shared" ca="1" si="1"/>
        <v/>
      </c>
      <c r="P49" s="40" t="str">
        <f t="shared" ca="1" si="2"/>
        <v/>
      </c>
      <c r="Q49" s="91">
        <v>0</v>
      </c>
      <c r="R49" s="91">
        <v>0</v>
      </c>
      <c r="S49" s="89">
        <v>0</v>
      </c>
      <c r="T49" s="90"/>
      <c r="U49" s="91"/>
      <c r="V49" s="3" t="s">
        <v>245</v>
      </c>
      <c r="W49" s="15"/>
      <c r="X49" s="15"/>
      <c r="Y49" s="94"/>
      <c r="Z49" s="94"/>
      <c r="AA49" s="5"/>
      <c r="AB49" s="39"/>
      <c r="AC49" s="40" t="str">
        <f t="shared" ca="1" si="3"/>
        <v/>
      </c>
      <c r="AD49" s="37" t="str">
        <f t="shared" si="9"/>
        <v/>
      </c>
      <c r="AE49" s="54" t="str">
        <f t="shared" si="10"/>
        <v/>
      </c>
      <c r="AF49" s="66" t="str">
        <f t="shared" ca="1" si="4"/>
        <v/>
      </c>
      <c r="AG49" s="66" t="str">
        <f t="shared" ca="1" si="11"/>
        <v/>
      </c>
      <c r="AH49" s="66" t="str">
        <f t="shared" ca="1" si="5"/>
        <v/>
      </c>
      <c r="AI49" s="66" t="str">
        <f t="shared" ca="1" si="6"/>
        <v/>
      </c>
      <c r="AJ49" s="66">
        <f t="shared" ca="1" si="7"/>
        <v>0</v>
      </c>
      <c r="AK49" s="66" t="str">
        <f t="shared" ca="1" si="8"/>
        <v/>
      </c>
      <c r="AL49" s="66" t="e">
        <f ca="1">CHOOSE(AF49,FALSE,Data!DV$2,IF(Data!DP$2="Transport",FALSE,Data!DV$2),IF(Data!DP$2="Transport",FALSE,Data!DV$2),FALSE,FALSE,Data!DV$2)</f>
        <v>#VALUE!</v>
      </c>
      <c r="AM49" s="66" t="e">
        <f ca="1">CHOOSE(AF49,"Affaires",IF(Data!DP$2="agricole","Agricole","Affaires"),IF(Data!DP$2="Agricole","Industriel",Data!DP$2),IF(Data!DP$2="Agricole","Industriel",Data!DP$2),IF(Data!DP$2="Agricole","Agricole","Affaires"),IF(Data!DP$2="Transport","Transport","Affaires"),IF(Data!DP$2="Agricole","Industriel",Data!DP$2))</f>
        <v>#VALUE!</v>
      </c>
      <c r="AN49" s="66" t="e">
        <f ca="1">IF(C49="Innovation","1159400",IF(C49="Gestion","1151000",IF(C49="OPTER","1151210",IF(AND(C49="Connaissances",D49="Écoconduite"),"1157170",IF(AND(C49="Conversion",D49="Bioénergies"),"1151240",IF(AND(C49="Conversion",D49="Solaires"),"1151202",INDEX(OFFSET(Type_Entreprise,,2,,),MATCH(#REF!,Type_Entreprise,0))))))))</f>
        <v>#REF!</v>
      </c>
      <c r="AO49"/>
      <c r="AP49"/>
    </row>
    <row r="50" spans="1:42" ht="13.5" thickTop="1" x14ac:dyDescent="0.2">
      <c r="A50" s="30"/>
      <c r="B50" s="11"/>
      <c r="C50" s="10" t="s">
        <v>420</v>
      </c>
      <c r="D50" s="30"/>
      <c r="E50" s="30"/>
      <c r="F50" s="11"/>
      <c r="G50" s="11"/>
      <c r="H50" s="11"/>
      <c r="I50" s="71"/>
      <c r="J50" s="71"/>
      <c r="K50" s="71"/>
      <c r="L50" s="71"/>
      <c r="M50" s="72"/>
      <c r="N50" s="88">
        <f t="shared" ref="N50:U50" si="12">SUM(N16:N49)</f>
        <v>0</v>
      </c>
      <c r="O50" s="41">
        <f t="shared" ca="1" si="12"/>
        <v>0</v>
      </c>
      <c r="P50" s="42">
        <f t="shared" ca="1" si="12"/>
        <v>0</v>
      </c>
      <c r="Q50" s="88">
        <f t="shared" si="12"/>
        <v>0</v>
      </c>
      <c r="R50" s="88">
        <f t="shared" si="12"/>
        <v>0</v>
      </c>
      <c r="S50" s="88">
        <f t="shared" si="12"/>
        <v>0</v>
      </c>
      <c r="T50" s="88">
        <f t="shared" si="12"/>
        <v>0</v>
      </c>
      <c r="U50" s="88">
        <f t="shared" si="12"/>
        <v>0</v>
      </c>
      <c r="V50" s="11"/>
      <c r="W50" s="11"/>
      <c r="X50" s="11"/>
      <c r="Y50" s="11"/>
      <c r="Z50" s="11"/>
      <c r="AA50" s="12"/>
      <c r="AB50" s="12"/>
      <c r="AC50" s="11"/>
      <c r="AD50" s="13"/>
      <c r="AE50" s="11"/>
    </row>
    <row r="51" spans="1:42" x14ac:dyDescent="0.2">
      <c r="A51" s="47"/>
      <c r="B51" s="48"/>
      <c r="C51" s="47"/>
      <c r="D51" s="47"/>
      <c r="E51" s="47"/>
      <c r="F51" s="48"/>
      <c r="G51" s="48"/>
      <c r="H51" s="48"/>
      <c r="I51" s="73"/>
      <c r="J51" s="73"/>
      <c r="K51" s="73"/>
      <c r="L51" s="73"/>
      <c r="M51" s="49"/>
      <c r="N51" s="49"/>
      <c r="O51" s="50"/>
      <c r="P51" s="51"/>
      <c r="Q51" s="49"/>
      <c r="R51" s="49"/>
      <c r="S51" s="49"/>
      <c r="T51" s="49"/>
      <c r="U51" s="49"/>
      <c r="V51" s="48"/>
      <c r="W51" s="48"/>
      <c r="X51" s="48"/>
      <c r="Y51" s="48"/>
      <c r="Z51" s="48"/>
      <c r="AA51" s="52"/>
      <c r="AB51" s="52"/>
      <c r="AC51" s="48"/>
      <c r="AD51" s="53"/>
      <c r="AE51" s="48"/>
    </row>
    <row r="52" spans="1:42" x14ac:dyDescent="0.2">
      <c r="A52" s="59" t="s">
        <v>995</v>
      </c>
      <c r="AC52" s="2"/>
      <c r="AD52" s="2"/>
    </row>
    <row r="53" spans="1:42" x14ac:dyDescent="0.2">
      <c r="A53" s="59" t="s">
        <v>1022</v>
      </c>
      <c r="AB53" s="2"/>
      <c r="AC53" s="2"/>
      <c r="AD53" s="2"/>
      <c r="AE53" s="2"/>
    </row>
    <row r="54" spans="1:42" x14ac:dyDescent="0.2">
      <c r="A54" s="59" t="s">
        <v>1002</v>
      </c>
      <c r="Y54" s="2"/>
      <c r="Z54" s="2"/>
      <c r="AA54" s="2"/>
      <c r="AB54" s="59"/>
      <c r="AC54" s="2"/>
      <c r="AD54" s="2"/>
      <c r="AE54" s="2"/>
    </row>
    <row r="55" spans="1:42" x14ac:dyDescent="0.2">
      <c r="A55" s="59" t="s">
        <v>1005</v>
      </c>
      <c r="Y55" s="2"/>
      <c r="Z55" s="2"/>
      <c r="AA55" s="2"/>
      <c r="AB55" s="59"/>
      <c r="AC55" s="2"/>
      <c r="AD55" s="2"/>
      <c r="AE55" s="2"/>
    </row>
    <row r="56" spans="1:42" x14ac:dyDescent="0.2">
      <c r="A56" s="59" t="s">
        <v>1008</v>
      </c>
      <c r="Y56" s="2"/>
      <c r="Z56" s="2"/>
      <c r="AA56" s="2"/>
      <c r="AB56" s="59"/>
      <c r="AC56" s="2"/>
      <c r="AD56" s="2"/>
      <c r="AE56" s="2"/>
    </row>
    <row r="57" spans="1:42" x14ac:dyDescent="0.2">
      <c r="A57" s="59" t="s">
        <v>1010</v>
      </c>
      <c r="B57" s="2"/>
      <c r="F57" s="2"/>
      <c r="G57" s="2"/>
      <c r="H57" s="2"/>
      <c r="AA57" s="140"/>
      <c r="AB57" s="140"/>
      <c r="AC57" s="140"/>
    </row>
    <row r="58" spans="1:42" x14ac:dyDescent="0.2">
      <c r="A58" s="59" t="s">
        <v>1023</v>
      </c>
      <c r="AA58" s="140"/>
      <c r="AB58" s="140"/>
      <c r="AC58" s="140"/>
    </row>
    <row r="59" spans="1:42" x14ac:dyDescent="0.2">
      <c r="A59" s="22" t="s">
        <v>998</v>
      </c>
      <c r="J59" s="59"/>
      <c r="AA59" s="140"/>
      <c r="AB59" s="140"/>
      <c r="AC59" s="140"/>
    </row>
  </sheetData>
  <mergeCells count="41">
    <mergeCell ref="A12:A14"/>
    <mergeCell ref="J13:J14"/>
    <mergeCell ref="P13:P14"/>
    <mergeCell ref="H13:H14"/>
    <mergeCell ref="B12:B14"/>
    <mergeCell ref="N13:N14"/>
    <mergeCell ref="K13:K14"/>
    <mergeCell ref="L13:L14"/>
    <mergeCell ref="AA8:AE8"/>
    <mergeCell ref="AA9:AB9"/>
    <mergeCell ref="X13:X14"/>
    <mergeCell ref="T13:T14"/>
    <mergeCell ref="U13:U14"/>
    <mergeCell ref="AB11:AE11"/>
    <mergeCell ref="AA12:AA14"/>
    <mergeCell ref="W13:W14"/>
    <mergeCell ref="Q12:T12"/>
    <mergeCell ref="AD13:AD14"/>
    <mergeCell ref="AE13:AE14"/>
    <mergeCell ref="U12:V12"/>
    <mergeCell ref="W12:X12"/>
    <mergeCell ref="AB12:AC12"/>
    <mergeCell ref="AC13:AC14"/>
    <mergeCell ref="Z12:Z14"/>
    <mergeCell ref="AD12:AE12"/>
    <mergeCell ref="C12:C14"/>
    <mergeCell ref="D12:D14"/>
    <mergeCell ref="F12:K12"/>
    <mergeCell ref="I13:I14"/>
    <mergeCell ref="L12:P12"/>
    <mergeCell ref="M13:M14"/>
    <mergeCell ref="O13:O14"/>
    <mergeCell ref="V13:V14"/>
    <mergeCell ref="AB13:AB14"/>
    <mergeCell ref="C8:H8"/>
    <mergeCell ref="Y12:Y14"/>
    <mergeCell ref="C9:D9"/>
    <mergeCell ref="F13:F14"/>
    <mergeCell ref="G13:G14"/>
    <mergeCell ref="E12:E14"/>
    <mergeCell ref="Q13:S13"/>
  </mergeCells>
  <phoneticPr fontId="8" type="noConversion"/>
  <conditionalFormatting sqref="E16:E49">
    <cfRule type="expression" dxfId="8" priority="1" stopIfTrue="1">
      <formula>IF(AND(L16="",E16="Choisir…"),TRUE,FALSE)</formula>
    </cfRule>
    <cfRule type="expression" dxfId="7" priority="2" stopIfTrue="1">
      <formula>IF(AND(L16&lt;&gt;"",F16="",E16="Choisir…"),TRUE,FALSE)</formula>
    </cfRule>
  </conditionalFormatting>
  <conditionalFormatting sqref="F16:F49">
    <cfRule type="expression" dxfId="6" priority="3" stopIfTrue="1">
      <formula>IF(AND(L16="",F16=""),TRUE,FALSE)</formula>
    </cfRule>
    <cfRule type="expression" dxfId="5" priority="4" stopIfTrue="1">
      <formula>IF(AND(L16&lt;&gt;"",F16=""),TRUE,FALSE)</formula>
    </cfRule>
  </conditionalFormatting>
  <conditionalFormatting sqref="H16:H49">
    <cfRule type="expression" dxfId="4" priority="5" stopIfTrue="1">
      <formula>IF(AND(E16="Énergie",H16="",IF(F16&lt;&gt;"",INDEX(OFFSET(Énergie,,8,,),MATCH(F16,Énergie,0))&lt;&gt;"",FALSE)),TRUE,FALSE)</formula>
    </cfRule>
    <cfRule type="expression" dxfId="3" priority="6" stopIfTrue="1">
      <formula>IF(AND(E16="Énergie",H16&lt;&gt;"",IF(F16&lt;&gt;"",INDEX(OFFSET(Énergie,,8,,),MATCH(F16,Énergie,0))&lt;&gt; "",FALSE)),TRUE,FALSE)</formula>
    </cfRule>
    <cfRule type="expression" dxfId="2" priority="7" stopIfTrue="1">
      <formula>IF(OR(E16&lt;&gt;"Énergie",AND(E16="Énergie", IF(F16&lt;&gt;"",INDEX(OFFSET(Énergie,,8,,),MATCH(F16,Énergie,0))&lt;&gt; "",FALSE))),TRUE,FALSE)</formula>
    </cfRule>
  </conditionalFormatting>
  <conditionalFormatting sqref="C16:C49 V16:V49">
    <cfRule type="cellIs" dxfId="1" priority="8" stopIfTrue="1" operator="equal">
      <formula>"Choisir…"</formula>
    </cfRule>
  </conditionalFormatting>
  <conditionalFormatting sqref="D16:D49">
    <cfRule type="cellIs" dxfId="0" priority="9" stopIfTrue="1" operator="equal">
      <formula>""</formula>
    </cfRule>
  </conditionalFormatting>
  <dataValidations count="5">
    <dataValidation type="list" allowBlank="1" showInputMessage="1" showErrorMessage="1" sqref="V16:V49" xr:uid="{00000000-0002-0000-0700-000000000000}">
      <formula1>Fin_Autre</formula1>
    </dataValidation>
    <dataValidation type="list" allowBlank="1" showInputMessage="1" showErrorMessage="1" sqref="C16:C49" xr:uid="{00000000-0002-0000-0700-000001000000}">
      <formula1>Volet</formula1>
    </dataValidation>
    <dataValidation type="list" allowBlank="1" showInputMessage="1" showErrorMessage="1" sqref="E16:E49" xr:uid="{00000000-0002-0000-0700-000002000000}">
      <formula1>Type_emission</formula1>
    </dataValidation>
    <dataValidation type="list" allowBlank="1" showInputMessage="1" showErrorMessage="1" sqref="D16:D49" xr:uid="{00000000-0002-0000-0700-000003000000}">
      <formula1>INDIRECT(C16)</formula1>
    </dataValidation>
    <dataValidation type="list" allowBlank="1" showInputMessage="1" showErrorMessage="1" sqref="F16:F49" xr:uid="{00000000-0002-0000-0700-000004000000}">
      <formula1>IF(E16="Énergie",Énergie,IF(E16="Fugitive",PRP,""))</formula1>
    </dataValidation>
  </dataValidations>
  <printOptions horizontalCentered="1"/>
  <pageMargins left="0" right="0" top="0.27559055118110237" bottom="0.27559055118110237" header="0.51181102362204722" footer="0.51181102362204722"/>
  <pageSetup paperSize="5" scale="55" orientation="landscape" r:id="rId1"/>
  <headerFooter alignWithMargins="0">
    <oddFooter>&amp;LTransition énergétique Québec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53" r:id="rId4" name="Button 85">
              <controlPr defaultSize="0" print="0" autoFill="0" autoPict="0" macro="[0]!Macro6">
                <anchor moveWithCells="1" sizeWithCells="1">
                  <from>
                    <xdr:col>5</xdr:col>
                    <xdr:colOff>0</xdr:colOff>
                    <xdr:row>4</xdr:row>
                    <xdr:rowOff>85725</xdr:rowOff>
                  </from>
                  <to>
                    <xdr:col>8</xdr:col>
                    <xdr:colOff>447675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"/>
  <dimension ref="A1:FY254"/>
  <sheetViews>
    <sheetView topLeftCell="J1" workbookViewId="0">
      <selection activeCell="V26" sqref="V26"/>
    </sheetView>
  </sheetViews>
  <sheetFormatPr baseColWidth="10" defaultColWidth="11.42578125" defaultRowHeight="12.75" x14ac:dyDescent="0.2"/>
  <cols>
    <col min="2" max="2" width="9.42578125" customWidth="1"/>
    <col min="3" max="3" width="14" customWidth="1"/>
    <col min="14" max="14" width="13" customWidth="1"/>
    <col min="16" max="16" width="6.5703125" customWidth="1"/>
    <col min="18" max="18" width="11.140625" customWidth="1"/>
    <col min="19" max="19" width="8.42578125" customWidth="1"/>
    <col min="20" max="20" width="9" customWidth="1"/>
    <col min="22" max="22" width="29.5703125" customWidth="1"/>
    <col min="35" max="35" width="12.5703125" bestFit="1" customWidth="1"/>
    <col min="66" max="66" width="16.42578125" customWidth="1"/>
  </cols>
  <sheetData>
    <row r="1" spans="1:181" x14ac:dyDescent="0.2">
      <c r="A1" t="s">
        <v>60</v>
      </c>
      <c r="B1" t="s">
        <v>61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74</v>
      </c>
      <c r="P1" s="62" t="s">
        <v>75</v>
      </c>
      <c r="Q1" s="63" t="s">
        <v>76</v>
      </c>
      <c r="R1" s="63" t="s">
        <v>77</v>
      </c>
      <c r="S1" s="63" t="s">
        <v>78</v>
      </c>
      <c r="T1" s="63" t="s">
        <v>79</v>
      </c>
      <c r="U1" s="63" t="s">
        <v>80</v>
      </c>
      <c r="V1" s="63" t="s">
        <v>81</v>
      </c>
      <c r="W1" s="63" t="s">
        <v>82</v>
      </c>
      <c r="X1" s="63" t="s">
        <v>83</v>
      </c>
      <c r="Y1" s="63" t="s">
        <v>84</v>
      </c>
      <c r="Z1" s="63" t="s">
        <v>85</v>
      </c>
      <c r="AA1" s="63" t="s">
        <v>86</v>
      </c>
      <c r="AB1" s="63" t="s">
        <v>87</v>
      </c>
      <c r="AC1" s="63" t="s">
        <v>88</v>
      </c>
      <c r="AD1" s="63" t="s">
        <v>89</v>
      </c>
      <c r="AE1" s="63" t="s">
        <v>90</v>
      </c>
      <c r="AF1" s="63" t="s">
        <v>91</v>
      </c>
      <c r="AG1" t="s">
        <v>92</v>
      </c>
      <c r="AH1" t="s">
        <v>93</v>
      </c>
      <c r="AI1" t="s">
        <v>94</v>
      </c>
      <c r="AJ1" t="s">
        <v>95</v>
      </c>
      <c r="AK1" t="s">
        <v>96</v>
      </c>
      <c r="AL1" t="s">
        <v>97</v>
      </c>
      <c r="AM1" t="s">
        <v>98</v>
      </c>
      <c r="AN1" t="s">
        <v>99</v>
      </c>
      <c r="AO1" t="s">
        <v>100</v>
      </c>
      <c r="AP1" t="s">
        <v>101</v>
      </c>
      <c r="AQ1" t="s">
        <v>102</v>
      </c>
      <c r="AR1" t="s">
        <v>103</v>
      </c>
      <c r="AS1" t="s">
        <v>104</v>
      </c>
      <c r="AT1" t="s">
        <v>105</v>
      </c>
      <c r="AU1" t="s">
        <v>106</v>
      </c>
      <c r="AV1" t="s">
        <v>107</v>
      </c>
      <c r="AW1" t="s">
        <v>108</v>
      </c>
      <c r="AX1" t="s">
        <v>109</v>
      </c>
      <c r="AY1" t="s">
        <v>110</v>
      </c>
      <c r="AZ1" t="s">
        <v>111</v>
      </c>
      <c r="BA1" t="s">
        <v>112</v>
      </c>
      <c r="BB1" t="s">
        <v>113</v>
      </c>
      <c r="BC1" t="s">
        <v>114</v>
      </c>
      <c r="BD1" t="s">
        <v>115</v>
      </c>
      <c r="BE1" t="s">
        <v>116</v>
      </c>
      <c r="BF1" t="s">
        <v>117</v>
      </c>
      <c r="BG1" t="s">
        <v>118</v>
      </c>
      <c r="BH1" t="s">
        <v>119</v>
      </c>
      <c r="BI1" t="s">
        <v>120</v>
      </c>
      <c r="BJ1" t="s">
        <v>121</v>
      </c>
      <c r="BK1" t="s">
        <v>122</v>
      </c>
      <c r="BL1" t="s">
        <v>123</v>
      </c>
      <c r="BM1" t="s">
        <v>124</v>
      </c>
      <c r="BN1" t="s">
        <v>125</v>
      </c>
      <c r="BO1" t="s">
        <v>126</v>
      </c>
      <c r="BP1" t="s">
        <v>127</v>
      </c>
      <c r="BQ1" t="s">
        <v>128</v>
      </c>
      <c r="BR1" t="s">
        <v>129</v>
      </c>
      <c r="BS1" t="s">
        <v>130</v>
      </c>
      <c r="BT1" t="s">
        <v>131</v>
      </c>
      <c r="BU1" t="s">
        <v>132</v>
      </c>
      <c r="BV1" t="s">
        <v>133</v>
      </c>
      <c r="BW1" t="s">
        <v>134</v>
      </c>
      <c r="BX1" t="s">
        <v>135</v>
      </c>
      <c r="BY1" t="s">
        <v>136</v>
      </c>
      <c r="BZ1" t="s">
        <v>137</v>
      </c>
      <c r="CA1" t="s">
        <v>138</v>
      </c>
      <c r="CB1" t="s">
        <v>139</v>
      </c>
      <c r="CC1" t="s">
        <v>140</v>
      </c>
      <c r="CD1" t="s">
        <v>141</v>
      </c>
      <c r="CE1" t="s">
        <v>142</v>
      </c>
      <c r="CF1" t="s">
        <v>143</v>
      </c>
      <c r="CG1" t="s">
        <v>144</v>
      </c>
      <c r="CH1" t="s">
        <v>145</v>
      </c>
      <c r="CI1" t="s">
        <v>146</v>
      </c>
      <c r="CJ1" t="s">
        <v>147</v>
      </c>
      <c r="CK1" t="s">
        <v>148</v>
      </c>
      <c r="CL1" t="s">
        <v>149</v>
      </c>
      <c r="CM1" t="s">
        <v>150</v>
      </c>
      <c r="CN1" t="s">
        <v>151</v>
      </c>
      <c r="CO1" t="s">
        <v>152</v>
      </c>
      <c r="CP1" t="s">
        <v>153</v>
      </c>
      <c r="CQ1" t="s">
        <v>154</v>
      </c>
      <c r="CR1" t="s">
        <v>155</v>
      </c>
      <c r="CS1" t="s">
        <v>156</v>
      </c>
      <c r="CT1" t="s">
        <v>157</v>
      </c>
      <c r="CU1" t="s">
        <v>158</v>
      </c>
      <c r="CV1" t="s">
        <v>159</v>
      </c>
      <c r="CW1" t="s">
        <v>160</v>
      </c>
      <c r="CX1" t="s">
        <v>161</v>
      </c>
      <c r="CY1" t="s">
        <v>162</v>
      </c>
      <c r="CZ1" t="s">
        <v>163</v>
      </c>
      <c r="DA1" t="s">
        <v>164</v>
      </c>
      <c r="DB1" t="s">
        <v>165</v>
      </c>
      <c r="DC1" t="s">
        <v>166</v>
      </c>
      <c r="DD1" t="s">
        <v>167</v>
      </c>
      <c r="DE1" t="s">
        <v>168</v>
      </c>
      <c r="DF1" t="s">
        <v>169</v>
      </c>
      <c r="DG1" t="s">
        <v>170</v>
      </c>
      <c r="DH1" t="s">
        <v>171</v>
      </c>
      <c r="DI1" t="s">
        <v>172</v>
      </c>
      <c r="DJ1" t="s">
        <v>173</v>
      </c>
      <c r="DK1" t="s">
        <v>174</v>
      </c>
      <c r="DL1" t="s">
        <v>175</v>
      </c>
      <c r="DM1" t="s">
        <v>176</v>
      </c>
      <c r="DN1" t="s">
        <v>177</v>
      </c>
      <c r="DO1" t="s">
        <v>178</v>
      </c>
      <c r="DP1" t="s">
        <v>179</v>
      </c>
      <c r="DQ1" t="s">
        <v>180</v>
      </c>
      <c r="DR1" t="s">
        <v>181</v>
      </c>
      <c r="DS1" t="s">
        <v>182</v>
      </c>
      <c r="DT1" t="s">
        <v>183</v>
      </c>
      <c r="DU1" t="s">
        <v>184</v>
      </c>
      <c r="DV1" t="s">
        <v>185</v>
      </c>
      <c r="DW1" t="s">
        <v>186</v>
      </c>
      <c r="DX1" t="s">
        <v>187</v>
      </c>
      <c r="DY1" t="s">
        <v>188</v>
      </c>
      <c r="DZ1" t="s">
        <v>189</v>
      </c>
      <c r="EA1" t="s">
        <v>190</v>
      </c>
      <c r="EB1" t="s">
        <v>191</v>
      </c>
      <c r="EC1" t="s">
        <v>192</v>
      </c>
      <c r="ED1" t="s">
        <v>193</v>
      </c>
      <c r="EE1" t="s">
        <v>194</v>
      </c>
      <c r="EF1" t="s">
        <v>195</v>
      </c>
      <c r="EG1" t="s">
        <v>196</v>
      </c>
      <c r="EH1" t="s">
        <v>197</v>
      </c>
      <c r="EI1" t="s">
        <v>198</v>
      </c>
      <c r="EJ1" t="s">
        <v>199</v>
      </c>
      <c r="EK1" t="s">
        <v>200</v>
      </c>
      <c r="EL1" t="s">
        <v>201</v>
      </c>
      <c r="EM1" t="s">
        <v>202</v>
      </c>
      <c r="EN1" t="s">
        <v>203</v>
      </c>
      <c r="EO1" t="s">
        <v>204</v>
      </c>
      <c r="EP1" t="s">
        <v>205</v>
      </c>
      <c r="EQ1" t="s">
        <v>206</v>
      </c>
      <c r="ER1" t="s">
        <v>207</v>
      </c>
      <c r="ES1" t="s">
        <v>208</v>
      </c>
      <c r="ET1" t="s">
        <v>209</v>
      </c>
      <c r="EU1" t="s">
        <v>210</v>
      </c>
      <c r="EV1" t="s">
        <v>211</v>
      </c>
      <c r="EW1" t="s">
        <v>212</v>
      </c>
      <c r="EX1" t="s">
        <v>213</v>
      </c>
      <c r="EY1" t="s">
        <v>214</v>
      </c>
      <c r="EZ1" t="s">
        <v>215</v>
      </c>
      <c r="FA1" t="s">
        <v>216</v>
      </c>
      <c r="FB1" t="s">
        <v>217</v>
      </c>
      <c r="FC1" t="s">
        <v>218</v>
      </c>
      <c r="FD1" t="s">
        <v>219</v>
      </c>
      <c r="FE1" t="s">
        <v>220</v>
      </c>
      <c r="FF1" t="s">
        <v>221</v>
      </c>
      <c r="FG1" t="s">
        <v>222</v>
      </c>
      <c r="FH1" t="s">
        <v>223</v>
      </c>
      <c r="FI1" t="s">
        <v>224</v>
      </c>
      <c r="FJ1" t="s">
        <v>225</v>
      </c>
      <c r="FK1" t="s">
        <v>226</v>
      </c>
      <c r="FL1" t="s">
        <v>227</v>
      </c>
      <c r="FM1" t="s">
        <v>228</v>
      </c>
      <c r="FN1" t="s">
        <v>229</v>
      </c>
      <c r="FO1" t="s">
        <v>230</v>
      </c>
      <c r="FP1" t="s">
        <v>231</v>
      </c>
      <c r="FQ1" t="s">
        <v>232</v>
      </c>
      <c r="FR1" t="s">
        <v>233</v>
      </c>
      <c r="FS1" t="s">
        <v>234</v>
      </c>
      <c r="FT1" t="s">
        <v>235</v>
      </c>
      <c r="FU1" t="s">
        <v>236</v>
      </c>
      <c r="FV1" t="s">
        <v>237</v>
      </c>
      <c r="FW1" t="s">
        <v>238</v>
      </c>
      <c r="FX1" t="s">
        <v>239</v>
      </c>
      <c r="FY1" t="s">
        <v>240</v>
      </c>
    </row>
    <row r="2" spans="1:181" x14ac:dyDescent="0.2">
      <c r="A2" s="8" t="s">
        <v>1024</v>
      </c>
      <c r="B2" s="8" t="str">
        <f>IF(A56=TRUE,"1","")</f>
        <v/>
      </c>
      <c r="C2" s="8" t="str">
        <f>IF(B56=TRUE,"2","")</f>
        <v>2</v>
      </c>
      <c r="D2" s="8" t="str">
        <f>IF(C56=TRUE,"3","")</f>
        <v/>
      </c>
      <c r="E2" s="8" t="str">
        <f>IF(D56=TRUE,"4","")</f>
        <v/>
      </c>
      <c r="F2" s="8" t="str">
        <f>IF(E56=TRUE,"5","")</f>
        <v/>
      </c>
      <c r="G2" s="8" t="str">
        <f>IF(F56=TRUE,"6","")</f>
        <v/>
      </c>
      <c r="H2" s="8" t="str">
        <f>IF(G56=TRUE,"7","")</f>
        <v/>
      </c>
      <c r="I2" s="8" t="b">
        <f>A56</f>
        <v>0</v>
      </c>
      <c r="J2" s="8" t="b">
        <f t="shared" ref="J2:O2" si="0">B56</f>
        <v>1</v>
      </c>
      <c r="K2" s="8" t="b">
        <f t="shared" si="0"/>
        <v>0</v>
      </c>
      <c r="L2" s="8" t="b">
        <f t="shared" si="0"/>
        <v>0</v>
      </c>
      <c r="M2" s="8" t="b">
        <f t="shared" si="0"/>
        <v>0</v>
      </c>
      <c r="N2" s="8" t="b">
        <f t="shared" si="0"/>
        <v>0</v>
      </c>
      <c r="O2" s="8" t="b">
        <f t="shared" si="0"/>
        <v>0</v>
      </c>
      <c r="P2" s="74" t="b">
        <f>B57</f>
        <v>0</v>
      </c>
      <c r="Q2" s="75" t="b">
        <f>B58</f>
        <v>0</v>
      </c>
      <c r="R2" s="75" t="b">
        <f>B60</f>
        <v>0</v>
      </c>
      <c r="S2" s="75" t="b">
        <f>B59</f>
        <v>0</v>
      </c>
      <c r="T2" s="75" t="b">
        <f>D57</f>
        <v>0</v>
      </c>
      <c r="U2" s="75" t="b">
        <f>D60</f>
        <v>0</v>
      </c>
      <c r="V2" s="75" t="b">
        <f>D58</f>
        <v>0</v>
      </c>
      <c r="W2" s="75" t="b">
        <f>D59</f>
        <v>0</v>
      </c>
      <c r="X2" s="75" t="b">
        <f>E57</f>
        <v>0</v>
      </c>
      <c r="Y2" s="75" t="b">
        <f>E58</f>
        <v>0</v>
      </c>
      <c r="Z2" s="75" t="b">
        <f>F57</f>
        <v>0</v>
      </c>
      <c r="AA2" s="75" t="b">
        <f>F58</f>
        <v>0</v>
      </c>
      <c r="AB2" s="75" t="b">
        <f>F59</f>
        <v>0</v>
      </c>
      <c r="AC2" s="75" t="b">
        <f>G57</f>
        <v>0</v>
      </c>
      <c r="AD2" s="75" t="b">
        <f>G58</f>
        <v>0</v>
      </c>
      <c r="AE2" s="75" t="b">
        <f>G59</f>
        <v>0</v>
      </c>
      <c r="AF2" s="75">
        <v>10</v>
      </c>
      <c r="AG2" s="8" t="e">
        <f>IF(#REF!="","",#REF!)</f>
        <v>#REF!</v>
      </c>
      <c r="AH2" s="8" t="e">
        <f>IF(#REF!="","",#REF!)</f>
        <v>#REF!</v>
      </c>
      <c r="AI2" s="8" t="e">
        <f>IF(#REF!="","",#REF!)</f>
        <v>#REF!</v>
      </c>
      <c r="AJ2" s="8" t="e">
        <f>IF(#REF!="","",#REF!)</f>
        <v>#REF!</v>
      </c>
      <c r="AK2" s="8" t="e">
        <f>IF(#REF!="","",#REF!)</f>
        <v>#REF!</v>
      </c>
      <c r="AL2" s="8" t="e">
        <f>IF(#REF!="","",#REF!)</f>
        <v>#REF!</v>
      </c>
      <c r="AM2" s="8" t="e">
        <f>IF(#REF!="","",#REF!)</f>
        <v>#REF!</v>
      </c>
      <c r="AN2" s="8" t="b">
        <v>0</v>
      </c>
      <c r="AO2" s="8">
        <v>1</v>
      </c>
      <c r="AP2" s="8" t="e">
        <f ca="1">INDEX(OFFSET(Appel,,-1,,),MATCH(#REF!,Appel,0))</f>
        <v>#REF!</v>
      </c>
      <c r="AQ2" s="8" t="e">
        <f>IF(#REF!="","",#REF!)</f>
        <v>#REF!</v>
      </c>
      <c r="AR2" s="8" t="e">
        <f>IF(#REF!="","",#REF!)</f>
        <v>#REF!</v>
      </c>
      <c r="AS2" s="8" t="e">
        <f>IF(#REF!="","",#REF!)</f>
        <v>#REF!</v>
      </c>
      <c r="AT2" s="8" t="e">
        <f>IF(#REF!="","",#REF!)</f>
        <v>#REF!</v>
      </c>
      <c r="AU2" s="8" t="e">
        <f>IF(#REF!="","",#REF!)</f>
        <v>#REF!</v>
      </c>
      <c r="AV2" s="8" t="e">
        <f>IF(#REF!="","",#REF!)</f>
        <v>#REF!</v>
      </c>
      <c r="AW2" s="8" t="e">
        <f>IF(#REF!="","",#REF!)</f>
        <v>#REF!</v>
      </c>
      <c r="AX2" s="8" t="e">
        <f>IF(#REF!="","",#REF!)</f>
        <v>#REF!</v>
      </c>
      <c r="AY2" s="8" t="e">
        <f>IF(#REF!="","",#REF!)</f>
        <v>#REF!</v>
      </c>
      <c r="AZ2" s="8" t="e">
        <f>IF(#REF!="","",#REF!)</f>
        <v>#REF!</v>
      </c>
      <c r="BA2" s="8" t="e">
        <f>IF(#REF!="","",#REF!)</f>
        <v>#REF!</v>
      </c>
      <c r="BB2" s="8" t="e">
        <f>IF(#REF!="","",#REF!)</f>
        <v>#REF!</v>
      </c>
      <c r="BC2" s="8" t="e">
        <f>IF(#REF!="","",#REF!)</f>
        <v>#REF!</v>
      </c>
      <c r="BD2" s="8" t="b">
        <v>0</v>
      </c>
      <c r="BE2" s="8" t="b">
        <v>0</v>
      </c>
      <c r="BF2" s="8">
        <v>2</v>
      </c>
      <c r="BG2" s="8" t="e">
        <f ca="1">INDEX(OFFSET(Appel,,-1,,),MATCH(#REF!,Appel,0))</f>
        <v>#REF!</v>
      </c>
      <c r="BH2" s="8" t="e">
        <f>IF(#REF!="","",#REF!)</f>
        <v>#REF!</v>
      </c>
      <c r="BI2" s="8" t="e">
        <f>IF(#REF!="","",#REF!)</f>
        <v>#REF!</v>
      </c>
      <c r="BJ2" s="8" t="e">
        <f>IF(#REF!="","",#REF!)</f>
        <v>#REF!</v>
      </c>
      <c r="BK2" s="8" t="e">
        <f>IF(#REF!="","",#REF!)</f>
        <v>#REF!</v>
      </c>
      <c r="BL2" s="8" t="e">
        <f>IF(#REF!="","",#REF!)</f>
        <v>#REF!</v>
      </c>
      <c r="BM2" s="8" t="e">
        <f>IF(#REF!="","",#REF!)</f>
        <v>#REF!</v>
      </c>
      <c r="BN2" s="8" t="e">
        <f>IF(#REF!="","",#REF!)</f>
        <v>#REF!</v>
      </c>
      <c r="BO2" s="8" t="e">
        <f>IF(#REF!="","",#REF!)</f>
        <v>#REF!</v>
      </c>
      <c r="BP2" s="8" t="e">
        <f>IF(#REF!="","",#REF!)</f>
        <v>#REF!</v>
      </c>
      <c r="BQ2" s="8" t="e">
        <f>IF(#REF!="","",#REF!)</f>
        <v>#REF!</v>
      </c>
      <c r="BR2" s="8" t="e">
        <f>IF(#REF!="","",#REF!)</f>
        <v>#REF!</v>
      </c>
      <c r="BS2" s="8" t="e">
        <f>IF(#REF!="","",#REF!)</f>
        <v>#REF!</v>
      </c>
      <c r="BT2" s="8" t="e">
        <f>IF(#REF!="","",#REF!)</f>
        <v>#REF!</v>
      </c>
      <c r="BU2" s="8" t="b">
        <v>0</v>
      </c>
      <c r="BV2" s="8" t="b">
        <v>1</v>
      </c>
      <c r="BW2" s="8">
        <v>3</v>
      </c>
      <c r="BX2" s="8" t="e">
        <f ca="1">INDEX(OFFSET(Appel,,-1,,),MATCH(#REF!,Appel,0))</f>
        <v>#REF!</v>
      </c>
      <c r="BY2" s="8" t="e">
        <f>IF(#REF!="","",#REF!)</f>
        <v>#REF!</v>
      </c>
      <c r="BZ2" s="8" t="e">
        <f>IF(#REF!="","",#REF!)</f>
        <v>#REF!</v>
      </c>
      <c r="CA2" s="8" t="e">
        <f>IF(#REF!="","",#REF!)</f>
        <v>#REF!</v>
      </c>
      <c r="CB2" s="8" t="e">
        <f>IF(#REF!="","",#REF!)</f>
        <v>#REF!</v>
      </c>
      <c r="CC2" s="8" t="e">
        <f>IF(#REF!="","",#REF!)</f>
        <v>#REF!</v>
      </c>
      <c r="CD2" s="8" t="e">
        <f>IF(#REF!="","",#REF!)</f>
        <v>#REF!</v>
      </c>
      <c r="CE2" s="8" t="e">
        <f>IF(#REF!="","",#REF!)</f>
        <v>#REF!</v>
      </c>
      <c r="CF2" s="8" t="e">
        <f>IF(#REF!="","",#REF!)</f>
        <v>#REF!</v>
      </c>
      <c r="CG2" s="8" t="e">
        <f>IF(#REF!="","",#REF!)</f>
        <v>#REF!</v>
      </c>
      <c r="CH2" s="8" t="e">
        <f>IF(#REF!="","",#REF!)</f>
        <v>#REF!</v>
      </c>
      <c r="CI2" s="8" t="e">
        <f>IF(#REF!="","",#REF!)</f>
        <v>#REF!</v>
      </c>
      <c r="CJ2" s="8" t="e">
        <f>IF(#REF!="","",#REF!)</f>
        <v>#REF!</v>
      </c>
      <c r="CK2" s="8" t="e">
        <f>IF(#REF!="","",#REF!)</f>
        <v>#REF!</v>
      </c>
      <c r="CL2" s="8" t="e">
        <f>IF(#REF!="","",#REF!)</f>
        <v>#REF!</v>
      </c>
      <c r="CM2" s="8" t="e">
        <f>IF(#REF!="","",#REF!)</f>
        <v>#REF!</v>
      </c>
      <c r="CN2" s="8" t="b">
        <v>0</v>
      </c>
      <c r="CO2" s="8" t="b">
        <v>0</v>
      </c>
      <c r="CP2" s="8">
        <v>4</v>
      </c>
      <c r="CQ2" s="8" t="e">
        <f ca="1">INDEX(OFFSET(Appel,,-1,,),MATCH(#REF!,Appel,0))</f>
        <v>#REF!</v>
      </c>
      <c r="CR2" s="8" t="e">
        <f>IF(#REF!="","",#REF!)</f>
        <v>#REF!</v>
      </c>
      <c r="CS2" s="8" t="e">
        <f>IF(#REF!="","",#REF!)</f>
        <v>#REF!</v>
      </c>
      <c r="CT2" s="8" t="e">
        <f>IF(#REF!="","",#REF!)</f>
        <v>#REF!</v>
      </c>
      <c r="CU2" s="8" t="e">
        <f>IF(#REF!="","",#REF!)</f>
        <v>#REF!</v>
      </c>
      <c r="CV2" s="8" t="e">
        <f>IF(#REF!="","",#REF!)</f>
        <v>#REF!</v>
      </c>
      <c r="CW2" s="8" t="e">
        <f>IF(#REF!="","",#REF!)</f>
        <v>#REF!</v>
      </c>
      <c r="CX2" s="8" t="e">
        <f>IF(#REF!="","",#REF!)</f>
        <v>#REF!</v>
      </c>
      <c r="CY2" s="8" t="e">
        <f>IF(#REF!="","",#REF!)</f>
        <v>#REF!</v>
      </c>
      <c r="CZ2" s="8" t="e">
        <f>IF(#REF!="","",#REF!)</f>
        <v>#REF!</v>
      </c>
      <c r="DA2" s="8" t="e">
        <f>IF(#REF!="","",#REF!)</f>
        <v>#REF!</v>
      </c>
      <c r="DB2" s="8" t="e">
        <f>IF(#REF!="","",#REF!)</f>
        <v>#REF!</v>
      </c>
      <c r="DC2" s="8" t="e">
        <f>IF(#REF!="","",#REF!)</f>
        <v>#REF!</v>
      </c>
      <c r="DD2" s="8" t="e">
        <f>IF(#REF!="","",#REF!)</f>
        <v>#REF!</v>
      </c>
      <c r="DE2" s="8" t="e">
        <f>IF(#REF!="","",#REF!)</f>
        <v>#REF!</v>
      </c>
      <c r="DF2" s="8" t="e">
        <f>IF(#REF!="","",#REF!)</f>
        <v>#REF!</v>
      </c>
      <c r="DG2" s="8" t="b">
        <v>1</v>
      </c>
      <c r="DH2" s="8" t="b">
        <v>0</v>
      </c>
      <c r="DI2" s="8" t="e">
        <f>IF(F57=TRUE,IF(#REF!="","",#REF!),IF(#REF!="","",#REF!))</f>
        <v>#REF!</v>
      </c>
      <c r="DJ2" s="8" t="e">
        <f>IF(F57=TRUE,IF(#REF!="","",#REF!),IF(#REF!="","",#REF!))</f>
        <v>#REF!</v>
      </c>
      <c r="DK2" s="8" t="e">
        <f>IF(F57=TRUE,IF(#REF!="","",#REF!),IF(#REF!="","",#REF!))</f>
        <v>#REF!</v>
      </c>
      <c r="DL2" s="8" t="e">
        <f>IF(F57=TRUE,IF(#REF!="","",#REF!),IF(#REF!="","",#REF!))</f>
        <v>#REF!</v>
      </c>
      <c r="DM2" s="8" t="e">
        <f>IF(F57=TRUE,IF(#REF!="","",#REF!),IF(#REF!="","",#REF!))</f>
        <v>#REF!</v>
      </c>
      <c r="DN2" s="8" t="e">
        <f>IF(F57=TRUE,484,IF(#REF!="","",#REF!))</f>
        <v>#REF!</v>
      </c>
      <c r="DO2" s="8" t="e">
        <f ca="1">IF(F57=TRUE,10,INDEX(OFFSET(Type_Entreprise,,-1,,),MATCH(#REF!,Type_Entreprise,0)))</f>
        <v>#REF!</v>
      </c>
      <c r="DP2" s="8" t="e">
        <f ca="1">INDEX(OFFSET(Type_Entreprise,,1,,),MATCH(#REF!,Type_Entreprise,0))</f>
        <v>#REF!</v>
      </c>
      <c r="DQ2" s="8" t="e">
        <f ca="1">IF(B61=TRUE,"1154020",DQ3)</f>
        <v>#REF!</v>
      </c>
      <c r="DR2" s="8" t="str">
        <f>IF(A56=TRUE,"Innovation technologique",IF(OR(B56=TRUE,E56=TRUE,F56=TRUE),"Analyse","Implantation"))</f>
        <v>Analyse</v>
      </c>
      <c r="DS2" s="8" t="str">
        <f>IF(FX2="8","8",IF(B2="1","1",IF(C2="2","2",IF(F2="5","5",IF(G2="6","6",IF(H2="7","7",IF(D2="3","3",IF(E2="4","4",""))))))))</f>
        <v>2</v>
      </c>
      <c r="DT2" s="8"/>
      <c r="DU2" s="76" t="e">
        <f>#REF!</f>
        <v>#REF!</v>
      </c>
      <c r="DV2" s="8" t="b">
        <v>0</v>
      </c>
      <c r="DW2" s="8" t="e">
        <f>IF(DU2&gt;36000,"(+ de 36TJ)","(- de 36TJ)")</f>
        <v>#REF!</v>
      </c>
      <c r="DX2" s="8">
        <v>2</v>
      </c>
      <c r="DY2" s="8" t="e">
        <f>IF(#REF!="","",#REF!)</f>
        <v>#REF!</v>
      </c>
      <c r="DZ2" s="8" t="e">
        <f ca="1">IF(#REF!="","",#REF!*INDEX(OFFSET(Unite_Surface,,1,,),MATCH(#REF!,Unite_Surface,0)))</f>
        <v>#REF!</v>
      </c>
      <c r="EA2" s="8" t="e">
        <f ca="1">INDEX(OFFSET(Unite_Surface,,-1,,),MATCH(#REF!,Unite_Surface,0))</f>
        <v>#REF!</v>
      </c>
      <c r="EB2" s="8" t="e">
        <f>IF(#REF!="","",#REF!)</f>
        <v>#REF!</v>
      </c>
      <c r="EC2" s="8" t="e">
        <f>IF(#REF!="","",#REF!)</f>
        <v>#REF!</v>
      </c>
      <c r="ED2" s="8" t="e">
        <f>IF(#REF!="","",#REF!)</f>
        <v>#REF!</v>
      </c>
      <c r="EE2" s="8" t="e">
        <f>IF(#REF!="","",#REF!)</f>
        <v>#REF!</v>
      </c>
      <c r="EF2" s="8" t="e">
        <f>IF(#REF!="","",#REF!)</f>
        <v>#REF!</v>
      </c>
      <c r="EG2" s="77" t="e">
        <f>IF(#REF!="","",#REF!)</f>
        <v>#REF!</v>
      </c>
      <c r="EH2" s="77" t="e">
        <f>IF(#REF!="","",#REF!)</f>
        <v>#REF!</v>
      </c>
      <c r="EI2" s="77" t="e">
        <f>IF(#REF!="","",#REF!)</f>
        <v>#REF!</v>
      </c>
      <c r="EJ2" s="77" t="b">
        <f>IF(A56=TRUE,TRUE,FALSE)</f>
        <v>0</v>
      </c>
      <c r="EK2" s="78" t="e">
        <f>IF(#REF!=0,0,#REF!)</f>
        <v>#REF!</v>
      </c>
      <c r="EL2" t="str">
        <f>IF(EL3=TRUE,"Résidentiel","")</f>
        <v/>
      </c>
      <c r="EM2" t="str">
        <f>IF(EM3=TRUE,"Commercial","")</f>
        <v/>
      </c>
      <c r="EN2" t="str">
        <f>IF(EN3=TRUE,"Institutionnel","")</f>
        <v/>
      </c>
      <c r="EO2" t="str">
        <f>IF(EO3=TRUE,"Municipal","")</f>
        <v/>
      </c>
      <c r="EP2" t="str">
        <f>IF(EP3=TRUE,"Transport","")</f>
        <v/>
      </c>
      <c r="EQ2" t="str">
        <f>IF(EQ3=TRUE,"Industriel","")</f>
        <v/>
      </c>
      <c r="ER2" t="str">
        <f>IF(ER3=TRUE,"Agricole","")</f>
        <v/>
      </c>
      <c r="ES2" t="str">
        <f>IF(ES3=TRUE,ET2,"")</f>
        <v/>
      </c>
      <c r="ET2" s="8" t="e">
        <f>IF(#REF!="","",#REF!)</f>
        <v>#REF!</v>
      </c>
      <c r="EU2" s="8" t="b">
        <v>0</v>
      </c>
      <c r="EV2" s="8" t="str">
        <f>IF(EV3=TRUE,"Bioénergie","")</f>
        <v/>
      </c>
      <c r="EW2" s="8" t="str">
        <f>IF(EW3=TRUE,"Éolienne","")</f>
        <v/>
      </c>
      <c r="EX2" s="8" t="str">
        <f>IF(EX3=TRUE,"Géothermie","")</f>
        <v/>
      </c>
      <c r="EY2" s="8" t="str">
        <f>IF(EY3=TRUE,"Hydrolienne","")</f>
        <v/>
      </c>
      <c r="EZ2" s="8" t="str">
        <f>IF(EZ3=TRUE,"Hydrogène","")</f>
        <v/>
      </c>
      <c r="FA2" s="8" t="str">
        <f>IF(FA3=TRUE,"Marémotrice","")</f>
        <v/>
      </c>
      <c r="FB2" s="8" t="str">
        <f>IF(FB3=TRUE,"Solaire","")</f>
        <v/>
      </c>
      <c r="FC2" s="8" t="str">
        <f>IF(FC3=TRUE,FD2,"")</f>
        <v/>
      </c>
      <c r="FD2" s="8" t="e">
        <f>IF(#REF!="","",#REF!)</f>
        <v>#REF!</v>
      </c>
      <c r="FE2" s="8" t="b">
        <v>0</v>
      </c>
      <c r="FF2" s="8" t="str">
        <f>IF(FE3=TRUE,1,"")</f>
        <v/>
      </c>
      <c r="FG2" s="8" t="str">
        <f>IF(FF3=TRUE,3,"")</f>
        <v/>
      </c>
      <c r="FH2" s="8" t="str">
        <f>IF(FG3=TRUE,4,"")</f>
        <v/>
      </c>
      <c r="FI2" s="8" t="str">
        <f>IF(FH3=TRUE,2,"")</f>
        <v/>
      </c>
      <c r="FJ2" s="8" t="str">
        <f>IF(FI3=TRUE,5,"")</f>
        <v/>
      </c>
      <c r="FK2" s="8" t="str">
        <f>IF(FJ3=TRUE,7,"")</f>
        <v/>
      </c>
      <c r="FL2" s="8" t="str">
        <f>IF(FK3=TRUE,6,"")</f>
        <v/>
      </c>
      <c r="FM2" s="8" t="str">
        <f ca="1">IF(FL3=TRUE,IF(#REF!="","",INDEX(OFFSET(Énergie,,-1,,),MATCH(#REF!,Énergie,0))),"")</f>
        <v/>
      </c>
      <c r="FN2" s="80" t="e">
        <f ca="1">IF(#REF!="","",INDEX(OFFSET(Énergie,,-1,,),MATCH(#REF!,Énergie,0)))</f>
        <v>#REF!</v>
      </c>
      <c r="FO2" s="81" t="e">
        <f>#REF!</f>
        <v>#REF!</v>
      </c>
      <c r="FP2" s="77" t="e">
        <f>IF(#REF!="","",#REF!)</f>
        <v>#REF!</v>
      </c>
      <c r="FQ2" s="26" t="e">
        <f>B70</f>
        <v>#REF!</v>
      </c>
      <c r="FR2" s="26" t="e">
        <f>C70</f>
        <v>#REF!</v>
      </c>
      <c r="FS2" s="26" t="e">
        <f>FQ2+FR2</f>
        <v>#REF!</v>
      </c>
      <c r="FT2" s="26" t="e">
        <f>D70</f>
        <v>#REF!</v>
      </c>
      <c r="FU2" s="26" t="e">
        <f>E70</f>
        <v>#REF!</v>
      </c>
      <c r="FV2" s="26" t="e">
        <f>FU2+FT2</f>
        <v>#REF!</v>
      </c>
      <c r="FW2" s="8">
        <v>1</v>
      </c>
      <c r="FX2" t="str">
        <f>IF(B61=TRUE,"8","")</f>
        <v/>
      </c>
      <c r="FY2" t="b">
        <f>B61</f>
        <v>0</v>
      </c>
    </row>
    <row r="3" spans="1:181" x14ac:dyDescent="0.2">
      <c r="DQ3" s="8" t="e">
        <f ca="1">IF($A$56=TRUE,"1159400",IF($E$56=TRUE,"1151000",IF($G$57=TRUE,"1151210",IF($F$57=TRUE,"1157170",IF($D$57=TRUE,"1151240",IF($D$60=TRUE,"1151202",INDEX(OFFSET(Type_Entreprise,,2,,),MATCH(#REF!,Type_Entreprise,0))))))))</f>
        <v>#REF!</v>
      </c>
      <c r="EJ3" s="8" t="b">
        <v>0</v>
      </c>
      <c r="EL3" s="8" t="b">
        <v>0</v>
      </c>
      <c r="EM3" s="8" t="b">
        <v>0</v>
      </c>
      <c r="EN3" s="8" t="b">
        <v>0</v>
      </c>
      <c r="EO3" s="8" t="b">
        <v>0</v>
      </c>
      <c r="EP3" s="8" t="b">
        <v>0</v>
      </c>
      <c r="EQ3" s="8" t="b">
        <v>0</v>
      </c>
      <c r="ER3" s="8" t="b">
        <v>0</v>
      </c>
      <c r="ES3" s="79" t="b">
        <v>0</v>
      </c>
      <c r="ET3" s="8"/>
      <c r="EV3" s="8" t="b">
        <v>0</v>
      </c>
      <c r="EW3" s="8" t="b">
        <v>0</v>
      </c>
      <c r="EX3" s="8" t="b">
        <v>0</v>
      </c>
      <c r="EY3" s="8" t="b">
        <v>0</v>
      </c>
      <c r="EZ3" s="8" t="b">
        <v>0</v>
      </c>
      <c r="FA3" s="8" t="b">
        <v>0</v>
      </c>
      <c r="FB3" s="8" t="b">
        <v>0</v>
      </c>
      <c r="FC3" s="8" t="b">
        <v>0</v>
      </c>
      <c r="FE3" s="8" t="b">
        <v>0</v>
      </c>
      <c r="FF3" s="8" t="b">
        <v>0</v>
      </c>
      <c r="FG3" s="8" t="b">
        <v>0</v>
      </c>
      <c r="FH3" s="8" t="b">
        <v>0</v>
      </c>
      <c r="FI3" s="8" t="b">
        <v>0</v>
      </c>
      <c r="FJ3" s="8" t="b">
        <v>0</v>
      </c>
      <c r="FK3" s="8" t="b">
        <v>0</v>
      </c>
      <c r="FL3" s="8"/>
      <c r="FM3" s="8" t="b">
        <v>0</v>
      </c>
    </row>
    <row r="4" spans="1:181" x14ac:dyDescent="0.2">
      <c r="A4" t="s">
        <v>242</v>
      </c>
      <c r="B4">
        <v>0.75</v>
      </c>
      <c r="U4" s="16" t="s">
        <v>243</v>
      </c>
      <c r="V4" s="16" t="s">
        <v>244</v>
      </c>
      <c r="FE4">
        <v>1</v>
      </c>
      <c r="FF4">
        <v>3</v>
      </c>
      <c r="FG4">
        <v>4</v>
      </c>
      <c r="FH4">
        <v>2</v>
      </c>
      <c r="FI4">
        <v>5</v>
      </c>
      <c r="FJ4">
        <v>7</v>
      </c>
      <c r="FK4">
        <v>6</v>
      </c>
    </row>
    <row r="5" spans="1:181" ht="12.75" customHeight="1" x14ac:dyDescent="0.2">
      <c r="B5" s="8" t="b">
        <v>0</v>
      </c>
      <c r="U5" s="19"/>
      <c r="V5" s="21" t="s">
        <v>245</v>
      </c>
    </row>
    <row r="6" spans="1:181" ht="12.75" customHeight="1" x14ac:dyDescent="0.2">
      <c r="A6" s="16" t="s">
        <v>247</v>
      </c>
      <c r="B6" s="16" t="s">
        <v>248</v>
      </c>
      <c r="D6" t="s">
        <v>245</v>
      </c>
      <c r="E6">
        <v>0</v>
      </c>
      <c r="F6" t="s">
        <v>245</v>
      </c>
      <c r="H6">
        <v>0</v>
      </c>
      <c r="I6" t="s">
        <v>245</v>
      </c>
      <c r="J6" t="s">
        <v>249</v>
      </c>
      <c r="K6" t="s">
        <v>245</v>
      </c>
      <c r="L6">
        <v>0</v>
      </c>
      <c r="M6" t="s">
        <v>245</v>
      </c>
      <c r="P6" t="s">
        <v>250</v>
      </c>
      <c r="U6" s="18" t="s">
        <v>297</v>
      </c>
      <c r="V6" s="18" t="s">
        <v>255</v>
      </c>
      <c r="W6" t="s">
        <v>253</v>
      </c>
      <c r="X6" s="65" t="s">
        <v>254</v>
      </c>
    </row>
    <row r="7" spans="1:181" ht="12.75" customHeight="1" x14ac:dyDescent="0.2">
      <c r="B7" s="20" t="s">
        <v>245</v>
      </c>
      <c r="D7" t="s">
        <v>257</v>
      </c>
      <c r="E7">
        <v>2</v>
      </c>
      <c r="F7" t="s">
        <v>62</v>
      </c>
      <c r="G7" t="s">
        <v>258</v>
      </c>
      <c r="H7">
        <v>1</v>
      </c>
      <c r="I7" t="s">
        <v>259</v>
      </c>
      <c r="J7" t="s">
        <v>260</v>
      </c>
      <c r="K7" t="s">
        <v>261</v>
      </c>
      <c r="L7">
        <v>1</v>
      </c>
      <c r="M7" t="s">
        <v>262</v>
      </c>
      <c r="P7" t="s">
        <v>263</v>
      </c>
      <c r="U7" s="65" t="s">
        <v>297</v>
      </c>
      <c r="V7" s="18" t="s">
        <v>267</v>
      </c>
      <c r="W7" t="s">
        <v>253</v>
      </c>
      <c r="X7" s="65" t="s">
        <v>266</v>
      </c>
    </row>
    <row r="8" spans="1:181" ht="12.75" customHeight="1" x14ac:dyDescent="0.2">
      <c r="A8" s="17">
        <v>1</v>
      </c>
      <c r="B8" s="18" t="s">
        <v>268</v>
      </c>
      <c r="D8" t="s">
        <v>269</v>
      </c>
      <c r="E8">
        <v>5</v>
      </c>
      <c r="F8" t="s">
        <v>270</v>
      </c>
      <c r="G8" t="s">
        <v>258</v>
      </c>
      <c r="H8">
        <v>2</v>
      </c>
      <c r="I8" t="s">
        <v>271</v>
      </c>
      <c r="J8" t="s">
        <v>272</v>
      </c>
      <c r="K8" t="s">
        <v>273</v>
      </c>
      <c r="L8">
        <v>2</v>
      </c>
      <c r="M8" t="s">
        <v>274</v>
      </c>
      <c r="U8" s="18" t="s">
        <v>300</v>
      </c>
      <c r="V8" s="18" t="s">
        <v>277</v>
      </c>
      <c r="W8" t="s">
        <v>207</v>
      </c>
      <c r="X8" s="65" t="s">
        <v>276</v>
      </c>
    </row>
    <row r="9" spans="1:181" ht="12.75" customHeight="1" x14ac:dyDescent="0.2">
      <c r="A9" s="17">
        <v>2</v>
      </c>
      <c r="B9" s="18" t="s">
        <v>278</v>
      </c>
      <c r="D9" t="s">
        <v>279</v>
      </c>
      <c r="E9">
        <v>3</v>
      </c>
      <c r="F9" t="s">
        <v>280</v>
      </c>
      <c r="G9" t="s">
        <v>281</v>
      </c>
      <c r="H9">
        <v>0</v>
      </c>
      <c r="I9" t="s">
        <v>282</v>
      </c>
      <c r="J9" t="s">
        <v>283</v>
      </c>
      <c r="K9" t="s">
        <v>284</v>
      </c>
      <c r="L9">
        <v>3</v>
      </c>
      <c r="M9" t="s">
        <v>285</v>
      </c>
      <c r="U9" s="18" t="s">
        <v>300</v>
      </c>
      <c r="V9" s="18" t="s">
        <v>287</v>
      </c>
      <c r="W9" t="s">
        <v>253</v>
      </c>
      <c r="X9" s="65" t="s">
        <v>254</v>
      </c>
    </row>
    <row r="10" spans="1:181" ht="12.75" customHeight="1" x14ac:dyDescent="0.2">
      <c r="E10">
        <v>4</v>
      </c>
      <c r="F10" t="s">
        <v>64</v>
      </c>
      <c r="G10" t="s">
        <v>281</v>
      </c>
      <c r="L10">
        <v>4</v>
      </c>
      <c r="M10" t="s">
        <v>288</v>
      </c>
      <c r="U10" s="65" t="s">
        <v>300</v>
      </c>
      <c r="V10" s="18" t="s">
        <v>290</v>
      </c>
      <c r="W10" t="s">
        <v>253</v>
      </c>
      <c r="X10" s="65" t="s">
        <v>266</v>
      </c>
    </row>
    <row r="11" spans="1:181" ht="12.75" customHeight="1" x14ac:dyDescent="0.2">
      <c r="E11">
        <v>7</v>
      </c>
      <c r="F11" t="s">
        <v>291</v>
      </c>
      <c r="G11" t="s">
        <v>281</v>
      </c>
      <c r="L11">
        <v>5</v>
      </c>
      <c r="M11" t="s">
        <v>292</v>
      </c>
      <c r="U11" s="18" t="s">
        <v>300</v>
      </c>
      <c r="V11" s="18" t="s">
        <v>294</v>
      </c>
      <c r="W11" t="s">
        <v>206</v>
      </c>
      <c r="X11" s="65" t="s">
        <v>276</v>
      </c>
    </row>
    <row r="12" spans="1:181" ht="12.75" customHeight="1" x14ac:dyDescent="0.2">
      <c r="U12" s="18" t="s">
        <v>300</v>
      </c>
      <c r="V12" s="18" t="s">
        <v>296</v>
      </c>
      <c r="W12" t="s">
        <v>206</v>
      </c>
      <c r="X12" s="65" t="s">
        <v>266</v>
      </c>
    </row>
    <row r="13" spans="1:181" ht="11.25" customHeight="1" x14ac:dyDescent="0.2">
      <c r="U13" s="18" t="s">
        <v>251</v>
      </c>
      <c r="V13" s="18" t="s">
        <v>298</v>
      </c>
      <c r="W13" t="s">
        <v>253</v>
      </c>
      <c r="X13" s="65" t="s">
        <v>254</v>
      </c>
    </row>
    <row r="14" spans="1:181" ht="12.75" customHeight="1" x14ac:dyDescent="0.2">
      <c r="U14" s="18" t="s">
        <v>251</v>
      </c>
      <c r="V14" s="18" t="s">
        <v>299</v>
      </c>
      <c r="W14" t="s">
        <v>253</v>
      </c>
      <c r="X14" s="65" t="s">
        <v>266</v>
      </c>
    </row>
    <row r="15" spans="1:181" ht="12.75" customHeight="1" x14ac:dyDescent="0.2">
      <c r="U15" s="18" t="s">
        <v>264</v>
      </c>
      <c r="V15" s="18" t="s">
        <v>301</v>
      </c>
      <c r="W15" t="s">
        <v>253</v>
      </c>
      <c r="X15" s="65" t="s">
        <v>254</v>
      </c>
    </row>
    <row r="16" spans="1:181" ht="12.75" customHeight="1" x14ac:dyDescent="0.2">
      <c r="G16" t="s">
        <v>245</v>
      </c>
      <c r="U16" s="18" t="s">
        <v>264</v>
      </c>
      <c r="V16" s="18" t="s">
        <v>295</v>
      </c>
      <c r="W16" t="s">
        <v>253</v>
      </c>
      <c r="X16" s="65" t="s">
        <v>266</v>
      </c>
    </row>
    <row r="17" spans="1:30" ht="12.75" customHeight="1" x14ac:dyDescent="0.2">
      <c r="G17" t="s">
        <v>302</v>
      </c>
      <c r="U17" s="18" t="s">
        <v>306</v>
      </c>
      <c r="V17" s="18" t="s">
        <v>204</v>
      </c>
      <c r="W17" t="s">
        <v>253</v>
      </c>
      <c r="X17" s="65" t="s">
        <v>254</v>
      </c>
    </row>
    <row r="18" spans="1:30" ht="12.75" customHeight="1" x14ac:dyDescent="0.2">
      <c r="G18" t="s">
        <v>303</v>
      </c>
      <c r="U18" s="18" t="s">
        <v>306</v>
      </c>
      <c r="V18" s="18" t="s">
        <v>307</v>
      </c>
      <c r="W18" t="s">
        <v>253</v>
      </c>
      <c r="X18" s="65" t="s">
        <v>266</v>
      </c>
    </row>
    <row r="19" spans="1:30" ht="12.75" customHeight="1" x14ac:dyDescent="0.2">
      <c r="G19" t="s">
        <v>304</v>
      </c>
      <c r="U19" s="18" t="s">
        <v>308</v>
      </c>
      <c r="V19" s="18" t="s">
        <v>309</v>
      </c>
      <c r="W19" t="s">
        <v>207</v>
      </c>
      <c r="X19" s="65" t="s">
        <v>276</v>
      </c>
    </row>
    <row r="20" spans="1:30" ht="12.75" customHeight="1" x14ac:dyDescent="0.2">
      <c r="G20" t="s">
        <v>305</v>
      </c>
      <c r="U20" s="18" t="s">
        <v>308</v>
      </c>
      <c r="V20" s="18" t="s">
        <v>310</v>
      </c>
      <c r="W20" t="s">
        <v>253</v>
      </c>
      <c r="X20" s="65" t="s">
        <v>254</v>
      </c>
    </row>
    <row r="21" spans="1:30" ht="12.75" customHeight="1" x14ac:dyDescent="0.2">
      <c r="U21" s="18" t="s">
        <v>308</v>
      </c>
      <c r="V21" s="18" t="s">
        <v>311</v>
      </c>
      <c r="W21" t="s">
        <v>253</v>
      </c>
      <c r="X21" s="65" t="s">
        <v>254</v>
      </c>
    </row>
    <row r="22" spans="1:30" ht="12.75" customHeight="1" x14ac:dyDescent="0.2">
      <c r="U22" s="65" t="s">
        <v>308</v>
      </c>
      <c r="V22" s="18" t="s">
        <v>313</v>
      </c>
      <c r="W22" t="s">
        <v>253</v>
      </c>
      <c r="X22" s="65" t="s">
        <v>266</v>
      </c>
    </row>
    <row r="23" spans="1:30" ht="12.75" customHeight="1" x14ac:dyDescent="0.2">
      <c r="U23" s="18" t="s">
        <v>308</v>
      </c>
      <c r="V23" s="18" t="s">
        <v>315</v>
      </c>
      <c r="W23" t="s">
        <v>206</v>
      </c>
      <c r="X23" s="65" t="s">
        <v>276</v>
      </c>
    </row>
    <row r="24" spans="1:30" ht="12.75" customHeight="1" x14ac:dyDescent="0.2"/>
    <row r="26" spans="1:30" x14ac:dyDescent="0.2">
      <c r="A26" t="s">
        <v>312</v>
      </c>
      <c r="B26" t="b">
        <v>1</v>
      </c>
    </row>
    <row r="27" spans="1:30" x14ac:dyDescent="0.2">
      <c r="A27" t="s">
        <v>314</v>
      </c>
      <c r="B27" t="b">
        <v>0</v>
      </c>
    </row>
    <row r="29" spans="1:30" x14ac:dyDescent="0.2">
      <c r="B29" t="s">
        <v>245</v>
      </c>
    </row>
    <row r="30" spans="1:30" x14ac:dyDescent="0.2">
      <c r="A30">
        <v>1</v>
      </c>
      <c r="B30" t="s">
        <v>316</v>
      </c>
      <c r="C30" t="s">
        <v>317</v>
      </c>
      <c r="F30" t="s">
        <v>245</v>
      </c>
      <c r="G30" t="s">
        <v>318</v>
      </c>
      <c r="H30" t="s">
        <v>319</v>
      </c>
      <c r="AD30" t="str">
        <f>IF(E57=TRUE,"GESB",IF(E58=TRUE,"GESA",IF(F56=TRUE,"DEVB","")))</f>
        <v/>
      </c>
    </row>
    <row r="31" spans="1:30" x14ac:dyDescent="0.2">
      <c r="A31">
        <v>2</v>
      </c>
      <c r="B31" t="s">
        <v>320</v>
      </c>
      <c r="C31" t="s">
        <v>320</v>
      </c>
      <c r="E31" s="65" t="s">
        <v>321</v>
      </c>
      <c r="F31" t="s">
        <v>322</v>
      </c>
      <c r="G31">
        <v>50</v>
      </c>
      <c r="H31" t="s">
        <v>323</v>
      </c>
    </row>
    <row r="32" spans="1:30" x14ac:dyDescent="0.2">
      <c r="A32">
        <v>3</v>
      </c>
      <c r="B32" t="s">
        <v>324</v>
      </c>
      <c r="C32" t="s">
        <v>324</v>
      </c>
      <c r="E32" s="65" t="s">
        <v>325</v>
      </c>
      <c r="F32" t="s">
        <v>326</v>
      </c>
      <c r="G32">
        <v>50</v>
      </c>
      <c r="H32" t="s">
        <v>327</v>
      </c>
    </row>
    <row r="33" spans="1:8" x14ac:dyDescent="0.2">
      <c r="A33">
        <v>4</v>
      </c>
      <c r="B33" t="s">
        <v>330</v>
      </c>
      <c r="C33" t="s">
        <v>330</v>
      </c>
      <c r="E33" s="65" t="s">
        <v>331</v>
      </c>
      <c r="F33" t="s">
        <v>332</v>
      </c>
      <c r="G33">
        <v>50</v>
      </c>
      <c r="H33" t="s">
        <v>333</v>
      </c>
    </row>
    <row r="34" spans="1:8" x14ac:dyDescent="0.2">
      <c r="A34">
        <v>5</v>
      </c>
      <c r="B34" t="s">
        <v>336</v>
      </c>
      <c r="C34" t="s">
        <v>336</v>
      </c>
      <c r="E34" s="65" t="s">
        <v>337</v>
      </c>
      <c r="F34" t="s">
        <v>338</v>
      </c>
      <c r="G34">
        <v>50</v>
      </c>
      <c r="H34" t="s">
        <v>339</v>
      </c>
    </row>
    <row r="35" spans="1:8" x14ac:dyDescent="0.2">
      <c r="A35">
        <v>6</v>
      </c>
      <c r="B35" t="s">
        <v>340</v>
      </c>
      <c r="C35" t="s">
        <v>340</v>
      </c>
    </row>
    <row r="36" spans="1:8" x14ac:dyDescent="0.2">
      <c r="A36">
        <v>7</v>
      </c>
      <c r="B36" t="s">
        <v>341</v>
      </c>
      <c r="C36" t="s">
        <v>342</v>
      </c>
    </row>
    <row r="37" spans="1:8" x14ac:dyDescent="0.2">
      <c r="A37">
        <v>8</v>
      </c>
      <c r="B37" t="s">
        <v>343</v>
      </c>
      <c r="C37" t="s">
        <v>344</v>
      </c>
    </row>
    <row r="38" spans="1:8" x14ac:dyDescent="0.2">
      <c r="A38">
        <v>9</v>
      </c>
      <c r="B38" t="s">
        <v>345</v>
      </c>
      <c r="C38" t="s">
        <v>346</v>
      </c>
    </row>
    <row r="39" spans="1:8" x14ac:dyDescent="0.2">
      <c r="A39">
        <v>10</v>
      </c>
      <c r="B39" t="s">
        <v>347</v>
      </c>
      <c r="C39" t="s">
        <v>348</v>
      </c>
    </row>
    <row r="40" spans="1:8" x14ac:dyDescent="0.2">
      <c r="A40">
        <v>11</v>
      </c>
      <c r="B40" t="s">
        <v>349</v>
      </c>
      <c r="C40" t="s">
        <v>350</v>
      </c>
    </row>
    <row r="41" spans="1:8" x14ac:dyDescent="0.2">
      <c r="A41">
        <v>12</v>
      </c>
      <c r="B41" t="s">
        <v>351</v>
      </c>
      <c r="C41" t="s">
        <v>352</v>
      </c>
    </row>
    <row r="42" spans="1:8" x14ac:dyDescent="0.2">
      <c r="A42">
        <v>13</v>
      </c>
      <c r="B42" t="s">
        <v>353</v>
      </c>
      <c r="C42" t="s">
        <v>1025</v>
      </c>
    </row>
    <row r="43" spans="1:8" x14ac:dyDescent="0.2">
      <c r="A43">
        <v>14</v>
      </c>
      <c r="B43" t="s">
        <v>355</v>
      </c>
      <c r="C43" t="s">
        <v>1026</v>
      </c>
    </row>
    <row r="44" spans="1:8" x14ac:dyDescent="0.2">
      <c r="A44">
        <v>15</v>
      </c>
      <c r="B44" t="s">
        <v>357</v>
      </c>
    </row>
    <row r="45" spans="1:8" x14ac:dyDescent="0.2">
      <c r="A45">
        <v>16</v>
      </c>
      <c r="B45" t="s">
        <v>358</v>
      </c>
    </row>
    <row r="47" spans="1:8" x14ac:dyDescent="0.2">
      <c r="A47">
        <v>0</v>
      </c>
      <c r="B47" t="s">
        <v>245</v>
      </c>
      <c r="C47">
        <v>0</v>
      </c>
      <c r="D47">
        <v>0</v>
      </c>
      <c r="E47" t="s">
        <v>245</v>
      </c>
      <c r="F47">
        <v>0</v>
      </c>
    </row>
    <row r="48" spans="1:8" x14ac:dyDescent="0.2">
      <c r="A48">
        <v>1</v>
      </c>
      <c r="B48" t="s">
        <v>359</v>
      </c>
      <c r="C48">
        <v>1</v>
      </c>
      <c r="D48">
        <v>1</v>
      </c>
      <c r="E48" t="s">
        <v>360</v>
      </c>
      <c r="F48">
        <v>1</v>
      </c>
    </row>
    <row r="49" spans="1:24" x14ac:dyDescent="0.2">
      <c r="A49">
        <v>2</v>
      </c>
      <c r="B49" t="s">
        <v>361</v>
      </c>
      <c r="C49">
        <f>1/2.204624</f>
        <v>0.45359208645102295</v>
      </c>
      <c r="D49">
        <v>2</v>
      </c>
      <c r="E49" t="s">
        <v>362</v>
      </c>
      <c r="F49">
        <v>9.2903040000000006E-2</v>
      </c>
    </row>
    <row r="52" spans="1:24" x14ac:dyDescent="0.2">
      <c r="B52" s="8" t="b">
        <v>0</v>
      </c>
      <c r="D52" s="8" t="b">
        <v>0</v>
      </c>
      <c r="E52" s="8" t="b">
        <v>0</v>
      </c>
      <c r="F52" s="8" t="b">
        <v>0</v>
      </c>
      <c r="G52" s="8" t="b">
        <v>0</v>
      </c>
    </row>
    <row r="53" spans="1:24" x14ac:dyDescent="0.2">
      <c r="B53" s="8" t="b">
        <v>0</v>
      </c>
      <c r="D53" s="8" t="b">
        <v>0</v>
      </c>
      <c r="E53" s="8" t="b">
        <v>0</v>
      </c>
      <c r="F53" s="8" t="b">
        <v>0</v>
      </c>
      <c r="G53" s="8" t="b">
        <v>0</v>
      </c>
    </row>
    <row r="54" spans="1:24" x14ac:dyDescent="0.2">
      <c r="B54" s="8" t="b">
        <v>0</v>
      </c>
      <c r="D54" s="8" t="b">
        <v>0</v>
      </c>
      <c r="F54" s="8" t="b">
        <v>0</v>
      </c>
      <c r="G54" s="8" t="b">
        <v>0</v>
      </c>
    </row>
    <row r="55" spans="1:24" x14ac:dyDescent="0.2">
      <c r="A55" t="s">
        <v>363</v>
      </c>
      <c r="B55" t="s">
        <v>62</v>
      </c>
      <c r="C55" t="s">
        <v>364</v>
      </c>
      <c r="D55" t="s">
        <v>64</v>
      </c>
      <c r="E55" t="s">
        <v>65</v>
      </c>
      <c r="F55" t="s">
        <v>365</v>
      </c>
      <c r="G55" t="s">
        <v>67</v>
      </c>
      <c r="I55" s="65" t="s">
        <v>366</v>
      </c>
      <c r="J55" t="s">
        <v>363</v>
      </c>
      <c r="K55" s="65" t="s">
        <v>367</v>
      </c>
      <c r="L55" t="s">
        <v>62</v>
      </c>
      <c r="M55" s="65" t="s">
        <v>368</v>
      </c>
      <c r="N55" t="s">
        <v>364</v>
      </c>
      <c r="O55" s="65" t="s">
        <v>369</v>
      </c>
      <c r="P55" t="s">
        <v>64</v>
      </c>
      <c r="Q55" s="65" t="s">
        <v>370</v>
      </c>
      <c r="R55" t="s">
        <v>65</v>
      </c>
      <c r="S55" s="65" t="s">
        <v>371</v>
      </c>
      <c r="T55" t="s">
        <v>365</v>
      </c>
      <c r="U55" s="65" t="s">
        <v>372</v>
      </c>
      <c r="V55" t="s">
        <v>373</v>
      </c>
      <c r="W55" t="s">
        <v>374</v>
      </c>
      <c r="X55" t="s">
        <v>375</v>
      </c>
    </row>
    <row r="56" spans="1:24" x14ac:dyDescent="0.2">
      <c r="A56" s="8" t="b">
        <v>0</v>
      </c>
      <c r="B56" s="8" t="b">
        <v>1</v>
      </c>
      <c r="C56" s="8" t="b">
        <v>0</v>
      </c>
      <c r="D56" s="8" t="b">
        <v>0</v>
      </c>
      <c r="E56" s="8" t="b">
        <v>0</v>
      </c>
      <c r="F56" s="8" t="b">
        <v>0</v>
      </c>
      <c r="G56" s="8" t="b">
        <v>0</v>
      </c>
      <c r="H56" s="8"/>
      <c r="I56" s="65" t="s">
        <v>376</v>
      </c>
      <c r="J56" t="s">
        <v>377</v>
      </c>
      <c r="K56" s="65" t="s">
        <v>378</v>
      </c>
      <c r="L56" t="s">
        <v>379</v>
      </c>
      <c r="M56" s="65" t="s">
        <v>380</v>
      </c>
      <c r="N56" t="s">
        <v>63</v>
      </c>
      <c r="O56" s="65" t="s">
        <v>381</v>
      </c>
      <c r="P56" t="s">
        <v>382</v>
      </c>
      <c r="Q56" s="65" t="s">
        <v>383</v>
      </c>
      <c r="R56" t="s">
        <v>384</v>
      </c>
      <c r="S56" s="65" t="s">
        <v>385</v>
      </c>
      <c r="T56" t="s">
        <v>386</v>
      </c>
      <c r="U56" s="65" t="s">
        <v>387</v>
      </c>
      <c r="V56" t="s">
        <v>388</v>
      </c>
    </row>
    <row r="57" spans="1:24" x14ac:dyDescent="0.2">
      <c r="A57" s="8"/>
      <c r="B57" s="8" t="b">
        <v>0</v>
      </c>
      <c r="C57" s="8"/>
      <c r="D57" s="8" t="b">
        <v>0</v>
      </c>
      <c r="E57" s="8" t="b">
        <v>0</v>
      </c>
      <c r="F57" s="8" t="b">
        <v>0</v>
      </c>
      <c r="G57" s="8" t="b">
        <v>0</v>
      </c>
      <c r="H57" s="8">
        <v>0.15</v>
      </c>
      <c r="I57" s="65" t="s">
        <v>389</v>
      </c>
      <c r="J57" t="s">
        <v>390</v>
      </c>
      <c r="K57" s="65" t="s">
        <v>391</v>
      </c>
      <c r="L57" t="s">
        <v>392</v>
      </c>
      <c r="O57" s="65" t="s">
        <v>393</v>
      </c>
      <c r="P57" t="s">
        <v>394</v>
      </c>
      <c r="Q57" s="65" t="s">
        <v>395</v>
      </c>
      <c r="R57" t="s">
        <v>396</v>
      </c>
      <c r="S57" s="65" t="s">
        <v>397</v>
      </c>
      <c r="T57" t="s">
        <v>398</v>
      </c>
      <c r="U57" s="65" t="s">
        <v>399</v>
      </c>
      <c r="V57" t="s">
        <v>400</v>
      </c>
    </row>
    <row r="58" spans="1:24" x14ac:dyDescent="0.2">
      <c r="A58" s="8"/>
      <c r="B58" s="8" t="b">
        <v>0</v>
      </c>
      <c r="C58" s="8"/>
      <c r="D58" s="8" t="b">
        <v>0</v>
      </c>
      <c r="E58" s="8" t="b">
        <v>0</v>
      </c>
      <c r="F58" s="8" t="b">
        <v>0</v>
      </c>
      <c r="G58" s="8" t="b">
        <v>0</v>
      </c>
      <c r="H58" s="8">
        <v>0.15</v>
      </c>
      <c r="I58" s="65" t="s">
        <v>401</v>
      </c>
      <c r="J58" t="s">
        <v>402</v>
      </c>
      <c r="K58" s="65" t="s">
        <v>403</v>
      </c>
      <c r="L58" t="s">
        <v>404</v>
      </c>
      <c r="O58" s="65" t="s">
        <v>393</v>
      </c>
      <c r="P58" t="s">
        <v>405</v>
      </c>
    </row>
    <row r="59" spans="1:24" x14ac:dyDescent="0.2">
      <c r="A59" s="8"/>
      <c r="B59" s="8" t="b">
        <v>0</v>
      </c>
      <c r="C59" s="8"/>
      <c r="D59" s="8" t="b">
        <v>0</v>
      </c>
      <c r="E59" s="8"/>
      <c r="F59" s="8" t="b">
        <v>0</v>
      </c>
      <c r="G59" s="8" t="b">
        <v>0</v>
      </c>
      <c r="H59" s="8">
        <v>0.1</v>
      </c>
      <c r="I59" s="65" t="s">
        <v>406</v>
      </c>
      <c r="J59" t="s">
        <v>407</v>
      </c>
      <c r="K59" s="65" t="s">
        <v>408</v>
      </c>
      <c r="L59" t="s">
        <v>409</v>
      </c>
      <c r="O59" s="65" t="s">
        <v>410</v>
      </c>
      <c r="P59" t="s">
        <v>411</v>
      </c>
    </row>
    <row r="60" spans="1:24" x14ac:dyDescent="0.2">
      <c r="B60" s="8" t="b">
        <v>0</v>
      </c>
      <c r="D60" s="8" t="b">
        <v>0</v>
      </c>
      <c r="I60" s="65" t="s">
        <v>412</v>
      </c>
      <c r="J60" t="s">
        <v>413</v>
      </c>
    </row>
    <row r="61" spans="1:24" x14ac:dyDescent="0.2">
      <c r="B61" s="8" t="b">
        <v>0</v>
      </c>
      <c r="I61" s="65" t="s">
        <v>414</v>
      </c>
      <c r="J61" t="s">
        <v>415</v>
      </c>
      <c r="O61" s="65"/>
    </row>
    <row r="62" spans="1:24" x14ac:dyDescent="0.2">
      <c r="B62" s="153" t="s">
        <v>416</v>
      </c>
      <c r="C62" s="153"/>
      <c r="D62" s="153" t="s">
        <v>417</v>
      </c>
      <c r="E62" s="153"/>
    </row>
    <row r="63" spans="1:24" x14ac:dyDescent="0.2">
      <c r="B63" t="s">
        <v>418</v>
      </c>
      <c r="C63" t="s">
        <v>419</v>
      </c>
      <c r="D63" t="s">
        <v>418</v>
      </c>
      <c r="E63" t="s">
        <v>419</v>
      </c>
    </row>
    <row r="64" spans="1:24" x14ac:dyDescent="0.2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</row>
    <row r="65" spans="1:31" x14ac:dyDescent="0.2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</row>
    <row r="66" spans="1:31" x14ac:dyDescent="0.2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</row>
    <row r="67" spans="1:31" x14ac:dyDescent="0.2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</row>
    <row r="68" spans="1:31" x14ac:dyDescent="0.2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</row>
    <row r="69" spans="1:31" x14ac:dyDescent="0.2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</row>
    <row r="70" spans="1:31" x14ac:dyDescent="0.2">
      <c r="A70" t="s">
        <v>420</v>
      </c>
      <c r="B70" t="e">
        <f>SUM(B64:B69)</f>
        <v>#REF!</v>
      </c>
      <c r="C70" t="e">
        <f>SUM(C64:C69)</f>
        <v>#REF!</v>
      </c>
      <c r="D70" t="e">
        <f>SUM(D64:D69)</f>
        <v>#REF!</v>
      </c>
      <c r="E70" t="e">
        <f>SUM(E64:E69)</f>
        <v>#REF!</v>
      </c>
    </row>
    <row r="74" spans="1:31" ht="12.75" customHeight="1" x14ac:dyDescent="0.2">
      <c r="A74" s="103" t="s">
        <v>421</v>
      </c>
      <c r="B74" s="103" t="s">
        <v>422</v>
      </c>
      <c r="C74" s="103" t="s">
        <v>423</v>
      </c>
      <c r="D74" s="103" t="s">
        <v>424</v>
      </c>
      <c r="E74" s="103" t="s">
        <v>425</v>
      </c>
      <c r="F74" s="103" t="s">
        <v>426</v>
      </c>
      <c r="G74" s="103" t="s">
        <v>427</v>
      </c>
      <c r="H74" s="103" t="s">
        <v>428</v>
      </c>
      <c r="I74" s="103" t="s">
        <v>429</v>
      </c>
      <c r="J74" s="103" t="s">
        <v>430</v>
      </c>
      <c r="K74" s="103" t="s">
        <v>431</v>
      </c>
      <c r="L74" s="103" t="s">
        <v>432</v>
      </c>
      <c r="M74" s="103" t="s">
        <v>433</v>
      </c>
      <c r="N74" s="103" t="s">
        <v>434</v>
      </c>
      <c r="O74" s="103" t="s">
        <v>435</v>
      </c>
      <c r="P74" s="103" t="s">
        <v>436</v>
      </c>
      <c r="Q74" s="103" t="s">
        <v>437</v>
      </c>
      <c r="R74" s="103" t="s">
        <v>438</v>
      </c>
      <c r="S74" s="103" t="s">
        <v>439</v>
      </c>
      <c r="T74" s="103" t="s">
        <v>440</v>
      </c>
      <c r="U74" s="103" t="s">
        <v>441</v>
      </c>
      <c r="V74" s="103" t="s">
        <v>442</v>
      </c>
      <c r="W74" s="103" t="s">
        <v>443</v>
      </c>
      <c r="X74" s="103" t="s">
        <v>444</v>
      </c>
      <c r="Z74" s="31" t="s">
        <v>445</v>
      </c>
      <c r="AA74" s="31" t="s">
        <v>446</v>
      </c>
      <c r="AB74" s="31"/>
      <c r="AC74" s="31" t="s">
        <v>447</v>
      </c>
      <c r="AD74" s="31" t="s">
        <v>448</v>
      </c>
      <c r="AE74" s="31" t="s">
        <v>449</v>
      </c>
    </row>
    <row r="75" spans="1:31" ht="12.75" customHeight="1" x14ac:dyDescent="0.2">
      <c r="A75" s="32">
        <v>1</v>
      </c>
      <c r="B75" s="33" t="s">
        <v>450</v>
      </c>
      <c r="C75" s="33" t="s">
        <v>451</v>
      </c>
      <c r="D75" s="100">
        <v>3.6</v>
      </c>
      <c r="E75" s="101">
        <v>2.04</v>
      </c>
      <c r="F75" s="100">
        <v>1</v>
      </c>
      <c r="G75" s="100">
        <v>3413</v>
      </c>
      <c r="H75" s="83" t="s">
        <v>452</v>
      </c>
      <c r="I75" s="83" t="s">
        <v>453</v>
      </c>
      <c r="J75" s="33"/>
      <c r="K75" s="100">
        <v>2</v>
      </c>
      <c r="L75" s="100">
        <v>2.0000000000000001E-4</v>
      </c>
      <c r="M75" s="100">
        <v>1E-4</v>
      </c>
      <c r="N75" s="101">
        <v>2.04</v>
      </c>
      <c r="O75" s="83" t="s">
        <v>283</v>
      </c>
      <c r="P75" s="101">
        <v>0</v>
      </c>
      <c r="Q75" s="83" t="s">
        <v>454</v>
      </c>
      <c r="R75" s="83" t="s">
        <v>454</v>
      </c>
      <c r="S75" s="83" t="s">
        <v>454</v>
      </c>
      <c r="T75" s="83" t="s">
        <v>454</v>
      </c>
      <c r="U75" s="83" t="s">
        <v>454</v>
      </c>
      <c r="V75" s="83" t="s">
        <v>454</v>
      </c>
      <c r="W75" s="102">
        <v>0</v>
      </c>
      <c r="X75" s="100">
        <v>0</v>
      </c>
      <c r="Y75" s="8"/>
      <c r="Z75" s="101">
        <v>1</v>
      </c>
      <c r="AA75" s="83" t="s">
        <v>455</v>
      </c>
      <c r="AB75" s="8" t="s">
        <v>359</v>
      </c>
      <c r="AC75" s="83" t="s">
        <v>431</v>
      </c>
      <c r="AD75" s="100">
        <v>1</v>
      </c>
      <c r="AE75" s="83" t="s">
        <v>456</v>
      </c>
    </row>
    <row r="76" spans="1:31" ht="12.75" customHeight="1" x14ac:dyDescent="0.2">
      <c r="A76" s="32">
        <v>2</v>
      </c>
      <c r="B76" s="33" t="s">
        <v>457</v>
      </c>
      <c r="C76" s="33" t="s">
        <v>458</v>
      </c>
      <c r="D76" s="100">
        <v>37.89</v>
      </c>
      <c r="E76" s="101">
        <v>1889.32</v>
      </c>
      <c r="F76" s="100">
        <v>10.525</v>
      </c>
      <c r="G76" s="100">
        <v>35921.944000000003</v>
      </c>
      <c r="H76" s="83" t="s">
        <v>459</v>
      </c>
      <c r="I76" s="83" t="s">
        <v>460</v>
      </c>
      <c r="J76" s="33"/>
      <c r="K76" s="100">
        <v>1878</v>
      </c>
      <c r="L76" s="100">
        <v>3.6999999999999998E-2</v>
      </c>
      <c r="M76" s="100">
        <v>3.4000000000000002E-2</v>
      </c>
      <c r="N76" s="101">
        <v>1889.32</v>
      </c>
      <c r="O76" s="83" t="s">
        <v>461</v>
      </c>
      <c r="P76" s="101">
        <v>0</v>
      </c>
      <c r="Q76" s="83" t="s">
        <v>462</v>
      </c>
      <c r="R76" s="83" t="s">
        <v>463</v>
      </c>
      <c r="S76" s="83" t="s">
        <v>464</v>
      </c>
      <c r="T76" s="83" t="s">
        <v>465</v>
      </c>
      <c r="U76" s="83" t="s">
        <v>466</v>
      </c>
      <c r="V76" s="83" t="s">
        <v>467</v>
      </c>
      <c r="W76" s="102">
        <v>0.1285</v>
      </c>
      <c r="X76" s="100">
        <v>244.40789950000001</v>
      </c>
      <c r="Y76" s="8"/>
      <c r="Z76" s="101">
        <v>10</v>
      </c>
      <c r="AA76" s="83" t="s">
        <v>468</v>
      </c>
      <c r="AB76" s="8" t="s">
        <v>359</v>
      </c>
      <c r="AC76" s="83" t="s">
        <v>469</v>
      </c>
      <c r="AD76" s="100">
        <v>1300</v>
      </c>
      <c r="AE76" s="83" t="s">
        <v>456</v>
      </c>
    </row>
    <row r="77" spans="1:31" ht="12.75" customHeight="1" x14ac:dyDescent="0.2">
      <c r="A77" s="32">
        <v>3</v>
      </c>
      <c r="B77" s="33" t="s">
        <v>470</v>
      </c>
      <c r="C77" s="33" t="s">
        <v>471</v>
      </c>
      <c r="D77" s="100">
        <v>38.5</v>
      </c>
      <c r="E77" s="101">
        <v>2734.7359999999999</v>
      </c>
      <c r="F77" s="100">
        <v>10.69</v>
      </c>
      <c r="G77" s="100">
        <v>36500.14</v>
      </c>
      <c r="H77" s="83" t="s">
        <v>472</v>
      </c>
      <c r="I77" s="83" t="s">
        <v>473</v>
      </c>
      <c r="J77" s="33"/>
      <c r="K77" s="100">
        <v>2725</v>
      </c>
      <c r="L77" s="100">
        <v>6.0000000000000001E-3</v>
      </c>
      <c r="M77" s="100">
        <v>3.1E-2</v>
      </c>
      <c r="N77" s="101">
        <v>2734.7359999999999</v>
      </c>
      <c r="O77" s="83" t="s">
        <v>474</v>
      </c>
      <c r="P77" s="101">
        <v>1</v>
      </c>
      <c r="Q77" s="83" t="s">
        <v>454</v>
      </c>
      <c r="R77" s="83" t="s">
        <v>454</v>
      </c>
      <c r="S77" s="83" t="s">
        <v>454</v>
      </c>
      <c r="T77" s="83" t="s">
        <v>454</v>
      </c>
      <c r="U77" s="83" t="s">
        <v>454</v>
      </c>
      <c r="V77" s="83" t="s">
        <v>454</v>
      </c>
      <c r="W77" s="102">
        <v>0.107</v>
      </c>
      <c r="X77" s="100">
        <v>292.61675200000002</v>
      </c>
      <c r="Y77" s="8"/>
      <c r="Z77" s="101">
        <v>31</v>
      </c>
      <c r="AA77" s="83" t="s">
        <v>475</v>
      </c>
      <c r="AB77" s="8" t="s">
        <v>359</v>
      </c>
      <c r="AC77" s="83" t="s">
        <v>476</v>
      </c>
      <c r="AD77" s="100">
        <v>1810</v>
      </c>
      <c r="AE77" s="83" t="s">
        <v>477</v>
      </c>
    </row>
    <row r="78" spans="1:31" ht="12.75" customHeight="1" x14ac:dyDescent="0.2">
      <c r="A78" s="32">
        <v>4</v>
      </c>
      <c r="B78" s="33" t="s">
        <v>478</v>
      </c>
      <c r="C78" s="33" t="s">
        <v>471</v>
      </c>
      <c r="D78" s="100">
        <v>42.5</v>
      </c>
      <c r="E78" s="101">
        <v>3146.36</v>
      </c>
      <c r="F78" s="100">
        <v>11.805555555</v>
      </c>
      <c r="G78" s="100">
        <v>40292.361109999998</v>
      </c>
      <c r="H78" s="83" t="s">
        <v>472</v>
      </c>
      <c r="I78" s="83" t="s">
        <v>473</v>
      </c>
      <c r="J78" s="33"/>
      <c r="K78" s="100">
        <v>3124</v>
      </c>
      <c r="L78" s="100">
        <v>0.12</v>
      </c>
      <c r="M78" s="100">
        <v>6.4000000000000001E-2</v>
      </c>
      <c r="N78" s="101">
        <v>3146.36</v>
      </c>
      <c r="O78" s="83" t="s">
        <v>479</v>
      </c>
      <c r="P78" s="101">
        <v>1</v>
      </c>
      <c r="Q78" s="83" t="s">
        <v>454</v>
      </c>
      <c r="R78" s="83" t="s">
        <v>454</v>
      </c>
      <c r="S78" s="83" t="s">
        <v>454</v>
      </c>
      <c r="T78" s="83" t="s">
        <v>454</v>
      </c>
      <c r="U78" s="83" t="s">
        <v>454</v>
      </c>
      <c r="V78" s="83" t="s">
        <v>454</v>
      </c>
      <c r="W78" s="102">
        <v>0.13700000000000001</v>
      </c>
      <c r="X78" s="100">
        <v>431.05131999999998</v>
      </c>
      <c r="Y78" s="8"/>
      <c r="Z78" s="101">
        <v>47</v>
      </c>
      <c r="AA78" s="83" t="s">
        <v>480</v>
      </c>
      <c r="AB78" s="8" t="s">
        <v>359</v>
      </c>
      <c r="AC78" s="83" t="s">
        <v>481</v>
      </c>
      <c r="AD78" s="100">
        <v>3260</v>
      </c>
      <c r="AE78" s="83" t="s">
        <v>456</v>
      </c>
    </row>
    <row r="79" spans="1:31" ht="12.75" customHeight="1" x14ac:dyDescent="0.2">
      <c r="A79" s="32">
        <v>5</v>
      </c>
      <c r="B79" s="33" t="s">
        <v>225</v>
      </c>
      <c r="C79" s="33" t="s">
        <v>471</v>
      </c>
      <c r="D79" s="100">
        <v>25.31</v>
      </c>
      <c r="E79" s="101">
        <v>1543.9839999999999</v>
      </c>
      <c r="F79" s="100">
        <v>7.03</v>
      </c>
      <c r="G79" s="100">
        <v>23995.29</v>
      </c>
      <c r="H79" s="83" t="s">
        <v>456</v>
      </c>
      <c r="I79" s="83" t="s">
        <v>482</v>
      </c>
      <c r="J79" s="33"/>
      <c r="K79" s="100">
        <v>1510</v>
      </c>
      <c r="L79" s="100">
        <v>2.4E-2</v>
      </c>
      <c r="M79" s="100">
        <v>0.108</v>
      </c>
      <c r="N79" s="101">
        <v>1543.9839999999999</v>
      </c>
      <c r="O79" s="83" t="s">
        <v>483</v>
      </c>
      <c r="P79" s="101">
        <v>1</v>
      </c>
      <c r="Q79" s="83" t="s">
        <v>484</v>
      </c>
      <c r="R79" s="83" t="s">
        <v>485</v>
      </c>
      <c r="S79" s="83" t="s">
        <v>486</v>
      </c>
      <c r="T79" s="83" t="s">
        <v>487</v>
      </c>
      <c r="U79" s="83" t="s">
        <v>488</v>
      </c>
      <c r="V79" s="83" t="s">
        <v>489</v>
      </c>
      <c r="W79" s="102">
        <v>0.188</v>
      </c>
      <c r="X79" s="100">
        <v>290.26899200000003</v>
      </c>
      <c r="Y79" s="8"/>
      <c r="Z79" s="101">
        <v>50</v>
      </c>
      <c r="AA79" s="83" t="s">
        <v>490</v>
      </c>
      <c r="AB79" s="8" t="s">
        <v>359</v>
      </c>
      <c r="AC79" s="83" t="s">
        <v>491</v>
      </c>
      <c r="AD79" s="100">
        <v>1770</v>
      </c>
      <c r="AE79" s="83" t="s">
        <v>456</v>
      </c>
    </row>
    <row r="80" spans="1:31" ht="12.75" customHeight="1" x14ac:dyDescent="0.2">
      <c r="A80" s="32">
        <v>6</v>
      </c>
      <c r="B80" s="33" t="s">
        <v>227</v>
      </c>
      <c r="C80" s="33" t="s">
        <v>471</v>
      </c>
      <c r="D80" s="100">
        <v>38.299999999999997</v>
      </c>
      <c r="E80" s="101">
        <v>2789.7930000000001</v>
      </c>
      <c r="F80" s="100">
        <v>10.64</v>
      </c>
      <c r="G80" s="100">
        <v>36310.53</v>
      </c>
      <c r="H80" s="83" t="s">
        <v>456</v>
      </c>
      <c r="I80" s="83" t="s">
        <v>492</v>
      </c>
      <c r="J80" s="33"/>
      <c r="K80" s="100">
        <v>2663</v>
      </c>
      <c r="L80" s="100">
        <v>0.13300000000000001</v>
      </c>
      <c r="M80" s="100">
        <v>0.4</v>
      </c>
      <c r="N80" s="101">
        <v>2789.7930000000001</v>
      </c>
      <c r="O80" s="83" t="s">
        <v>454</v>
      </c>
      <c r="P80" s="101">
        <v>1</v>
      </c>
      <c r="Q80" s="83" t="s">
        <v>493</v>
      </c>
      <c r="R80" s="83" t="s">
        <v>494</v>
      </c>
      <c r="S80" s="83" t="s">
        <v>495</v>
      </c>
      <c r="T80" s="83" t="s">
        <v>496</v>
      </c>
      <c r="U80" s="83" t="s">
        <v>497</v>
      </c>
      <c r="V80" s="83" t="s">
        <v>498</v>
      </c>
      <c r="W80" s="102">
        <v>0.107</v>
      </c>
      <c r="X80" s="100">
        <v>298.50785100000002</v>
      </c>
      <c r="Y80" s="8"/>
      <c r="Z80" s="101">
        <v>85</v>
      </c>
      <c r="AA80" s="83" t="s">
        <v>499</v>
      </c>
      <c r="AB80" s="8" t="s">
        <v>359</v>
      </c>
      <c r="AC80" s="83" t="s">
        <v>500</v>
      </c>
      <c r="AD80" s="100">
        <v>3300</v>
      </c>
      <c r="AE80" s="83" t="s">
        <v>456</v>
      </c>
    </row>
    <row r="81" spans="1:31" ht="12.75" customHeight="1" x14ac:dyDescent="0.2">
      <c r="A81" s="32">
        <v>7</v>
      </c>
      <c r="B81" s="33" t="s">
        <v>501</v>
      </c>
      <c r="C81" s="33" t="s">
        <v>471</v>
      </c>
      <c r="D81" s="100">
        <v>34.869999999999997</v>
      </c>
      <c r="E81" s="101">
        <v>2361.92</v>
      </c>
      <c r="F81" s="100">
        <v>9.69</v>
      </c>
      <c r="G81" s="100">
        <v>33058.699999999997</v>
      </c>
      <c r="H81" s="83" t="s">
        <v>456</v>
      </c>
      <c r="I81" s="83" t="s">
        <v>502</v>
      </c>
      <c r="J81" s="33"/>
      <c r="K81" s="100">
        <v>2289</v>
      </c>
      <c r="L81" s="100">
        <v>2.7</v>
      </c>
      <c r="M81" s="100">
        <v>0.05</v>
      </c>
      <c r="N81" s="101">
        <v>2361.1999999999998</v>
      </c>
      <c r="O81" s="83" t="s">
        <v>454</v>
      </c>
      <c r="P81" s="101">
        <v>1</v>
      </c>
      <c r="Q81" s="83" t="s">
        <v>493</v>
      </c>
      <c r="R81" s="83" t="s">
        <v>494</v>
      </c>
      <c r="S81" s="83" t="s">
        <v>495</v>
      </c>
      <c r="T81" s="83" t="s">
        <v>496</v>
      </c>
      <c r="U81" s="83" t="s">
        <v>497</v>
      </c>
      <c r="V81" s="83" t="s">
        <v>498</v>
      </c>
      <c r="W81" s="102">
        <v>0.17</v>
      </c>
      <c r="X81" s="100">
        <v>401.52640000000002</v>
      </c>
      <c r="Y81" s="8"/>
      <c r="Z81" s="101">
        <v>86</v>
      </c>
      <c r="AA81" s="83" t="s">
        <v>503</v>
      </c>
      <c r="AB81" s="8" t="s">
        <v>359</v>
      </c>
      <c r="AC81" s="83" t="s">
        <v>504</v>
      </c>
      <c r="AD81" s="100">
        <v>0</v>
      </c>
      <c r="AE81" s="83" t="s">
        <v>505</v>
      </c>
    </row>
    <row r="82" spans="1:31" ht="12.75" customHeight="1" x14ac:dyDescent="0.2">
      <c r="A82" s="32">
        <v>8</v>
      </c>
      <c r="B82" s="33" t="s">
        <v>506</v>
      </c>
      <c r="C82" s="33" t="s">
        <v>471</v>
      </c>
      <c r="D82" s="100">
        <v>33.520000000000003</v>
      </c>
      <c r="E82" s="101">
        <v>2459.5</v>
      </c>
      <c r="F82" s="100">
        <v>9.31</v>
      </c>
      <c r="G82" s="100">
        <v>31778.82</v>
      </c>
      <c r="H82" s="83" t="s">
        <v>456</v>
      </c>
      <c r="I82" s="83" t="s">
        <v>502</v>
      </c>
      <c r="J82" s="33"/>
      <c r="K82" s="100">
        <v>2342</v>
      </c>
      <c r="L82" s="100">
        <v>2.2000000000000002</v>
      </c>
      <c r="M82" s="100">
        <v>0.23</v>
      </c>
      <c r="N82" s="101">
        <v>2459.5</v>
      </c>
      <c r="O82" s="83" t="s">
        <v>454</v>
      </c>
      <c r="P82" s="101">
        <v>1</v>
      </c>
      <c r="Q82" s="83" t="s">
        <v>454</v>
      </c>
      <c r="R82" s="83" t="s">
        <v>454</v>
      </c>
      <c r="S82" s="83" t="s">
        <v>454</v>
      </c>
      <c r="T82" s="83" t="s">
        <v>454</v>
      </c>
      <c r="U82" s="83" t="s">
        <v>454</v>
      </c>
      <c r="V82" s="83" t="s">
        <v>454</v>
      </c>
      <c r="W82" s="102">
        <v>0.17</v>
      </c>
      <c r="X82" s="100">
        <v>418.11500000000001</v>
      </c>
      <c r="Y82" s="8"/>
      <c r="Z82" s="101">
        <v>92</v>
      </c>
      <c r="AA82" s="83" t="s">
        <v>507</v>
      </c>
      <c r="AB82" s="8" t="s">
        <v>359</v>
      </c>
      <c r="AC82" s="83" t="s">
        <v>508</v>
      </c>
      <c r="AD82" s="100">
        <v>2292.2800000000002</v>
      </c>
      <c r="AE82" s="83" t="s">
        <v>456</v>
      </c>
    </row>
    <row r="83" spans="1:31" ht="12.75" customHeight="1" x14ac:dyDescent="0.2">
      <c r="A83" s="32">
        <v>9</v>
      </c>
      <c r="B83" s="33" t="s">
        <v>509</v>
      </c>
      <c r="C83" s="33" t="s">
        <v>471</v>
      </c>
      <c r="D83" s="100">
        <v>37.4</v>
      </c>
      <c r="E83" s="101">
        <v>2606.98</v>
      </c>
      <c r="F83" s="100">
        <v>10.39</v>
      </c>
      <c r="G83" s="100">
        <v>35457.279999999999</v>
      </c>
      <c r="H83" s="83" t="s">
        <v>456</v>
      </c>
      <c r="I83" s="83" t="s">
        <v>454</v>
      </c>
      <c r="J83" s="33" t="s">
        <v>454</v>
      </c>
      <c r="K83" s="100">
        <v>2534</v>
      </c>
      <c r="L83" s="100">
        <v>0.08</v>
      </c>
      <c r="M83" s="100">
        <v>0.23</v>
      </c>
      <c r="N83" s="101">
        <v>2606.98</v>
      </c>
      <c r="O83" s="83" t="s">
        <v>454</v>
      </c>
      <c r="P83" s="101">
        <v>1</v>
      </c>
      <c r="Q83" s="83" t="s">
        <v>510</v>
      </c>
      <c r="R83" s="83" t="s">
        <v>511</v>
      </c>
      <c r="S83" s="83" t="s">
        <v>512</v>
      </c>
      <c r="T83" s="83" t="s">
        <v>513</v>
      </c>
      <c r="U83" s="83" t="s">
        <v>514</v>
      </c>
      <c r="V83" s="83" t="s">
        <v>515</v>
      </c>
      <c r="W83" s="102">
        <v>9.2999999999999999E-2</v>
      </c>
      <c r="X83" s="100">
        <v>242.44914</v>
      </c>
      <c r="Y83" s="8"/>
      <c r="Z83" s="101">
        <v>74</v>
      </c>
      <c r="AA83" s="83" t="s">
        <v>516</v>
      </c>
      <c r="AB83" s="8" t="s">
        <v>359</v>
      </c>
      <c r="AC83" s="83" t="s">
        <v>517</v>
      </c>
      <c r="AD83" s="100">
        <v>5</v>
      </c>
      <c r="AE83" s="83" t="s">
        <v>477</v>
      </c>
    </row>
    <row r="84" spans="1:31" ht="12.75" customHeight="1" x14ac:dyDescent="0.2">
      <c r="A84" s="32">
        <v>10</v>
      </c>
      <c r="B84" s="33" t="s">
        <v>518</v>
      </c>
      <c r="C84" s="33" t="s">
        <v>471</v>
      </c>
      <c r="D84" s="100">
        <v>37.68</v>
      </c>
      <c r="E84" s="101">
        <v>2543.7359999999999</v>
      </c>
      <c r="F84" s="100">
        <v>10.469443999999999</v>
      </c>
      <c r="G84" s="100">
        <v>35722.730000000003</v>
      </c>
      <c r="H84" s="83" t="s">
        <v>456</v>
      </c>
      <c r="I84" s="83" t="s">
        <v>454</v>
      </c>
      <c r="J84" s="33" t="s">
        <v>454</v>
      </c>
      <c r="K84" s="100">
        <v>2534</v>
      </c>
      <c r="L84" s="100">
        <v>6.0000000000000001E-3</v>
      </c>
      <c r="M84" s="100">
        <v>3.1E-2</v>
      </c>
      <c r="N84" s="101">
        <v>2543.7359999999999</v>
      </c>
      <c r="O84" s="83" t="s">
        <v>454</v>
      </c>
      <c r="P84" s="101">
        <v>1</v>
      </c>
      <c r="Q84" s="83" t="s">
        <v>454</v>
      </c>
      <c r="R84" s="83" t="s">
        <v>454</v>
      </c>
      <c r="S84" s="83" t="s">
        <v>454</v>
      </c>
      <c r="T84" s="83" t="s">
        <v>454</v>
      </c>
      <c r="U84" s="83" t="s">
        <v>454</v>
      </c>
      <c r="V84" s="83" t="s">
        <v>454</v>
      </c>
      <c r="W84" s="102">
        <v>9.2999999999999999E-2</v>
      </c>
      <c r="X84" s="100">
        <v>236.56744800000001</v>
      </c>
      <c r="Y84" s="8"/>
      <c r="Z84" s="101">
        <v>25</v>
      </c>
      <c r="AA84" s="83" t="s">
        <v>519</v>
      </c>
      <c r="AB84" s="8" t="s">
        <v>359</v>
      </c>
      <c r="AC84" s="83" t="s">
        <v>520</v>
      </c>
      <c r="AD84" s="100">
        <v>4750</v>
      </c>
      <c r="AE84" s="83" t="s">
        <v>477</v>
      </c>
    </row>
    <row r="85" spans="1:31" ht="12.75" customHeight="1" x14ac:dyDescent="0.2">
      <c r="A85" s="32">
        <v>11</v>
      </c>
      <c r="B85" s="33" t="s">
        <v>521</v>
      </c>
      <c r="C85" s="33" t="s">
        <v>471</v>
      </c>
      <c r="D85" s="100">
        <v>44.46</v>
      </c>
      <c r="E85" s="101">
        <v>1778.4</v>
      </c>
      <c r="F85" s="100">
        <v>12.35</v>
      </c>
      <c r="G85" s="100">
        <v>42150.55</v>
      </c>
      <c r="H85" s="83" t="s">
        <v>522</v>
      </c>
      <c r="I85" s="83" t="s">
        <v>454</v>
      </c>
      <c r="J85" s="33" t="s">
        <v>454</v>
      </c>
      <c r="K85" s="100">
        <v>1778.4</v>
      </c>
      <c r="L85" s="100" t="s">
        <v>454</v>
      </c>
      <c r="M85" s="100" t="s">
        <v>454</v>
      </c>
      <c r="N85" s="101">
        <v>1778.4</v>
      </c>
      <c r="O85" s="83" t="s">
        <v>454</v>
      </c>
      <c r="P85" s="101">
        <v>1</v>
      </c>
      <c r="Q85" s="83" t="s">
        <v>523</v>
      </c>
      <c r="R85" s="83" t="s">
        <v>524</v>
      </c>
      <c r="S85" s="83" t="s">
        <v>525</v>
      </c>
      <c r="T85" s="83" t="s">
        <v>526</v>
      </c>
      <c r="U85" s="83" t="s">
        <v>515</v>
      </c>
      <c r="V85" s="83" t="s">
        <v>527</v>
      </c>
      <c r="W85" s="102">
        <v>0.13700000000000001</v>
      </c>
      <c r="X85" s="100">
        <v>243.64080000000001</v>
      </c>
      <c r="Y85" s="8"/>
      <c r="Z85" s="101">
        <v>28</v>
      </c>
      <c r="AA85" s="83" t="s">
        <v>528</v>
      </c>
      <c r="AB85" s="8" t="s">
        <v>359</v>
      </c>
      <c r="AC85" s="83" t="s">
        <v>529</v>
      </c>
      <c r="AD85" s="100">
        <v>6130</v>
      </c>
      <c r="AE85" s="83" t="s">
        <v>477</v>
      </c>
    </row>
    <row r="86" spans="1:31" ht="12.75" customHeight="1" x14ac:dyDescent="0.2">
      <c r="A86" s="32">
        <v>12</v>
      </c>
      <c r="B86" s="33" t="s">
        <v>530</v>
      </c>
      <c r="C86" s="33" t="s">
        <v>471</v>
      </c>
      <c r="D86" s="100">
        <v>36.08</v>
      </c>
      <c r="E86" s="101">
        <v>1756.88</v>
      </c>
      <c r="F86" s="100">
        <v>10.02</v>
      </c>
      <c r="G86" s="100">
        <v>34205.839999999997</v>
      </c>
      <c r="H86" s="83" t="s">
        <v>456</v>
      </c>
      <c r="I86" s="83" t="s">
        <v>454</v>
      </c>
      <c r="J86" s="33" t="s">
        <v>454</v>
      </c>
      <c r="K86" s="100">
        <v>1750</v>
      </c>
      <c r="L86" s="100" t="s">
        <v>454</v>
      </c>
      <c r="M86" s="100">
        <v>2.2200000000000001E-2</v>
      </c>
      <c r="N86" s="101">
        <v>1756.88</v>
      </c>
      <c r="O86" s="83" t="s">
        <v>454</v>
      </c>
      <c r="P86" s="101">
        <v>1</v>
      </c>
      <c r="Q86" s="83" t="s">
        <v>531</v>
      </c>
      <c r="R86" s="83" t="s">
        <v>532</v>
      </c>
      <c r="S86" s="83" t="s">
        <v>533</v>
      </c>
      <c r="T86" s="83" t="s">
        <v>534</v>
      </c>
      <c r="U86" s="83" t="s">
        <v>535</v>
      </c>
      <c r="V86" s="83" t="s">
        <v>536</v>
      </c>
      <c r="W86" s="102">
        <v>0.188</v>
      </c>
      <c r="X86" s="100">
        <v>329.00112799999999</v>
      </c>
      <c r="Y86" s="8"/>
      <c r="Z86" s="101">
        <v>29</v>
      </c>
      <c r="AA86" s="83" t="s">
        <v>537</v>
      </c>
      <c r="AB86" s="8" t="s">
        <v>359</v>
      </c>
      <c r="AC86" s="83" t="s">
        <v>538</v>
      </c>
      <c r="AD86" s="100">
        <v>10000</v>
      </c>
      <c r="AE86" s="83" t="s">
        <v>477</v>
      </c>
    </row>
    <row r="87" spans="1:31" ht="12.75" customHeight="1" x14ac:dyDescent="0.2">
      <c r="A87" s="32">
        <v>16</v>
      </c>
      <c r="B87" s="33" t="s">
        <v>539</v>
      </c>
      <c r="C87" s="33" t="s">
        <v>359</v>
      </c>
      <c r="D87" s="100">
        <v>15</v>
      </c>
      <c r="E87" s="101">
        <v>1486.83</v>
      </c>
      <c r="F87" s="100">
        <v>4.17</v>
      </c>
      <c r="G87" s="100">
        <v>14220.83</v>
      </c>
      <c r="H87" s="83" t="s">
        <v>456</v>
      </c>
      <c r="I87" s="83" t="s">
        <v>454</v>
      </c>
      <c r="J87" s="33" t="s">
        <v>454</v>
      </c>
      <c r="K87" s="100">
        <v>1480</v>
      </c>
      <c r="L87" s="100">
        <v>0.03</v>
      </c>
      <c r="M87" s="100">
        <v>0.02</v>
      </c>
      <c r="N87" s="101">
        <v>1486.83</v>
      </c>
      <c r="O87" s="83" t="s">
        <v>454</v>
      </c>
      <c r="P87" s="101">
        <v>1</v>
      </c>
      <c r="Q87" s="83" t="s">
        <v>540</v>
      </c>
      <c r="R87" s="83" t="s">
        <v>541</v>
      </c>
      <c r="S87" s="83" t="s">
        <v>542</v>
      </c>
      <c r="T87" s="83" t="s">
        <v>543</v>
      </c>
      <c r="U87" s="83" t="s">
        <v>544</v>
      </c>
      <c r="V87" s="83" t="s">
        <v>545</v>
      </c>
      <c r="W87" s="102">
        <v>0.08</v>
      </c>
      <c r="X87" s="100">
        <v>118.9464</v>
      </c>
      <c r="Y87" s="8"/>
      <c r="Z87" s="101">
        <v>30</v>
      </c>
      <c r="AA87" s="83" t="s">
        <v>546</v>
      </c>
      <c r="AB87" s="8" t="s">
        <v>359</v>
      </c>
      <c r="AC87" s="83" t="s">
        <v>547</v>
      </c>
      <c r="AD87" s="100">
        <v>7370</v>
      </c>
      <c r="AE87" s="83" t="s">
        <v>477</v>
      </c>
    </row>
    <row r="88" spans="1:31" ht="12.75" customHeight="1" x14ac:dyDescent="0.2">
      <c r="A88" s="32">
        <v>19</v>
      </c>
      <c r="B88" s="33" t="s">
        <v>548</v>
      </c>
      <c r="C88" s="33" t="s">
        <v>471</v>
      </c>
      <c r="D88" s="100">
        <v>28.44</v>
      </c>
      <c r="E88" s="101">
        <v>1763.9839999999999</v>
      </c>
      <c r="F88" s="100">
        <v>7.9</v>
      </c>
      <c r="G88" s="100">
        <v>26962.7</v>
      </c>
      <c r="H88" s="83" t="s">
        <v>456</v>
      </c>
      <c r="I88" s="83" t="s">
        <v>454</v>
      </c>
      <c r="J88" s="33" t="s">
        <v>454</v>
      </c>
      <c r="K88" s="100">
        <v>1730</v>
      </c>
      <c r="L88" s="100">
        <v>2.4E-2</v>
      </c>
      <c r="M88" s="100">
        <v>0.108</v>
      </c>
      <c r="N88" s="101">
        <v>1763.9839999999999</v>
      </c>
      <c r="O88" s="83" t="s">
        <v>454</v>
      </c>
      <c r="P88" s="101">
        <v>1</v>
      </c>
      <c r="Q88" s="83" t="s">
        <v>454</v>
      </c>
      <c r="R88" s="83" t="s">
        <v>454</v>
      </c>
      <c r="S88" s="83" t="s">
        <v>454</v>
      </c>
      <c r="T88" s="83" t="s">
        <v>454</v>
      </c>
      <c r="U88" s="83" t="s">
        <v>454</v>
      </c>
      <c r="V88" s="83" t="s">
        <v>454</v>
      </c>
      <c r="W88" s="102">
        <v>0.188</v>
      </c>
      <c r="X88" s="100">
        <v>331.62899199999998</v>
      </c>
      <c r="Y88" s="8"/>
      <c r="Z88" s="101">
        <v>26</v>
      </c>
      <c r="AA88" s="83" t="s">
        <v>549</v>
      </c>
      <c r="AB88" s="8" t="s">
        <v>359</v>
      </c>
      <c r="AC88" s="83" t="s">
        <v>550</v>
      </c>
      <c r="AD88" s="100">
        <v>10900</v>
      </c>
      <c r="AE88" s="83" t="s">
        <v>477</v>
      </c>
    </row>
    <row r="89" spans="1:31" ht="12.75" customHeight="1" x14ac:dyDescent="0.2">
      <c r="A89" s="32">
        <v>20</v>
      </c>
      <c r="B89" s="33" t="s">
        <v>551</v>
      </c>
      <c r="C89" s="33" t="s">
        <v>471</v>
      </c>
      <c r="D89" s="100">
        <v>17.22</v>
      </c>
      <c r="E89" s="101">
        <v>976</v>
      </c>
      <c r="F89" s="100">
        <v>4.78</v>
      </c>
      <c r="G89" s="100">
        <v>16325.52</v>
      </c>
      <c r="H89" s="83" t="s">
        <v>456</v>
      </c>
      <c r="I89" s="83" t="s">
        <v>454</v>
      </c>
      <c r="J89" s="33" t="s">
        <v>454</v>
      </c>
      <c r="K89" s="100">
        <v>976</v>
      </c>
      <c r="L89" s="100" t="s">
        <v>454</v>
      </c>
      <c r="M89" s="100" t="s">
        <v>454</v>
      </c>
      <c r="N89" s="101">
        <v>976</v>
      </c>
      <c r="O89" s="83" t="s">
        <v>454</v>
      </c>
      <c r="P89" s="101">
        <v>1</v>
      </c>
      <c r="Q89" s="83" t="s">
        <v>454</v>
      </c>
      <c r="R89" s="83" t="s">
        <v>454</v>
      </c>
      <c r="S89" s="83" t="s">
        <v>454</v>
      </c>
      <c r="T89" s="83" t="s">
        <v>454</v>
      </c>
      <c r="U89" s="83" t="s">
        <v>454</v>
      </c>
      <c r="V89" s="83" t="s">
        <v>454</v>
      </c>
      <c r="W89" s="102">
        <v>9.2999999999999999E-2</v>
      </c>
      <c r="X89" s="100">
        <v>90.768000000000001</v>
      </c>
      <c r="Y89" s="8"/>
      <c r="Z89" s="101">
        <v>27</v>
      </c>
      <c r="AA89" s="83" t="s">
        <v>552</v>
      </c>
      <c r="AB89" s="8" t="s">
        <v>359</v>
      </c>
      <c r="AC89" s="83" t="s">
        <v>553</v>
      </c>
      <c r="AD89" s="100">
        <v>14400</v>
      </c>
      <c r="AE89" s="83" t="s">
        <v>477</v>
      </c>
    </row>
    <row r="90" spans="1:31" ht="12.75" customHeight="1" x14ac:dyDescent="0.2">
      <c r="A90" s="32">
        <v>21</v>
      </c>
      <c r="B90" s="33" t="s">
        <v>554</v>
      </c>
      <c r="C90" s="33" t="s">
        <v>359</v>
      </c>
      <c r="D90" s="100">
        <v>28.83</v>
      </c>
      <c r="E90" s="101">
        <v>2486.83</v>
      </c>
      <c r="F90" s="100">
        <v>8.0083333329999995</v>
      </c>
      <c r="G90" s="100">
        <v>27332.44167</v>
      </c>
      <c r="H90" s="83" t="s">
        <v>555</v>
      </c>
      <c r="I90" s="83" t="s">
        <v>454</v>
      </c>
      <c r="J90" s="33" t="s">
        <v>454</v>
      </c>
      <c r="K90" s="100">
        <v>2480</v>
      </c>
      <c r="L90" s="100">
        <v>0.03</v>
      </c>
      <c r="M90" s="100">
        <v>0.02</v>
      </c>
      <c r="N90" s="101">
        <v>2486.83</v>
      </c>
      <c r="O90" s="83" t="s">
        <v>454</v>
      </c>
      <c r="P90" s="101">
        <v>1</v>
      </c>
      <c r="Q90" s="83" t="s">
        <v>556</v>
      </c>
      <c r="R90" s="83" t="s">
        <v>557</v>
      </c>
      <c r="S90" s="83" t="s">
        <v>558</v>
      </c>
      <c r="T90" s="83" t="s">
        <v>559</v>
      </c>
      <c r="U90" s="83" t="s">
        <v>560</v>
      </c>
      <c r="V90" s="83" t="s">
        <v>561</v>
      </c>
      <c r="W90" s="102">
        <v>0.08</v>
      </c>
      <c r="X90" s="100">
        <v>198.94640000000001</v>
      </c>
      <c r="Y90" s="8"/>
      <c r="Z90" s="101">
        <v>38</v>
      </c>
      <c r="AA90" s="83" t="s">
        <v>562</v>
      </c>
      <c r="AB90" s="8" t="s">
        <v>359</v>
      </c>
      <c r="AC90" s="83" t="s">
        <v>563</v>
      </c>
      <c r="AD90" s="100">
        <v>7140</v>
      </c>
      <c r="AE90" s="83" t="s">
        <v>477</v>
      </c>
    </row>
    <row r="91" spans="1:31" ht="12.75" customHeight="1" x14ac:dyDescent="0.2">
      <c r="A91" s="32">
        <v>22</v>
      </c>
      <c r="B91" s="33" t="s">
        <v>564</v>
      </c>
      <c r="C91" s="33" t="s">
        <v>359</v>
      </c>
      <c r="D91" s="100">
        <v>46.35</v>
      </c>
      <c r="E91" s="101">
        <v>3836.7350000000001</v>
      </c>
      <c r="F91" s="100">
        <v>12.88</v>
      </c>
      <c r="G91" s="100">
        <v>43942.38</v>
      </c>
      <c r="H91" s="83" t="s">
        <v>456</v>
      </c>
      <c r="I91" s="83" t="s">
        <v>454</v>
      </c>
      <c r="J91" s="33" t="s">
        <v>454</v>
      </c>
      <c r="K91" s="100">
        <v>3826</v>
      </c>
      <c r="L91" s="100">
        <v>0.12</v>
      </c>
      <c r="M91" s="100">
        <v>2.6499999999999999E-2</v>
      </c>
      <c r="N91" s="101">
        <v>3836.7350000000001</v>
      </c>
      <c r="O91" s="83" t="s">
        <v>454</v>
      </c>
      <c r="P91" s="101">
        <v>1</v>
      </c>
      <c r="Q91" s="83" t="s">
        <v>565</v>
      </c>
      <c r="R91" s="83" t="s">
        <v>566</v>
      </c>
      <c r="S91" s="83" t="s">
        <v>567</v>
      </c>
      <c r="T91" s="83" t="s">
        <v>568</v>
      </c>
      <c r="U91" s="83" t="s">
        <v>569</v>
      </c>
      <c r="V91" s="83" t="s">
        <v>545</v>
      </c>
      <c r="W91" s="102">
        <v>0.08</v>
      </c>
      <c r="X91" s="100">
        <v>306.93880000000001</v>
      </c>
      <c r="Y91" s="8"/>
      <c r="Z91" s="101">
        <v>83</v>
      </c>
      <c r="AA91" s="83" t="s">
        <v>570</v>
      </c>
      <c r="AB91" s="8" t="s">
        <v>359</v>
      </c>
      <c r="AC91" s="83" t="s">
        <v>571</v>
      </c>
      <c r="AD91" s="100">
        <v>1890</v>
      </c>
      <c r="AE91" s="83" t="s">
        <v>477</v>
      </c>
    </row>
    <row r="92" spans="1:31" ht="12.75" customHeight="1" x14ac:dyDescent="0.2">
      <c r="A92" s="32">
        <v>23</v>
      </c>
      <c r="B92" s="33" t="s">
        <v>572</v>
      </c>
      <c r="C92" s="33" t="s">
        <v>359</v>
      </c>
      <c r="D92" s="100">
        <v>27.599910999999999</v>
      </c>
      <c r="E92" s="101">
        <v>35.966000000000001</v>
      </c>
      <c r="F92" s="100">
        <v>7.6666419000000001</v>
      </c>
      <c r="G92" s="100">
        <v>26166.248</v>
      </c>
      <c r="H92" s="83" t="s">
        <v>573</v>
      </c>
      <c r="I92" s="83" t="s">
        <v>454</v>
      </c>
      <c r="J92" s="33" t="s">
        <v>454</v>
      </c>
      <c r="K92" s="100">
        <v>3190</v>
      </c>
      <c r="L92" s="100">
        <v>0.57599999999999996</v>
      </c>
      <c r="M92" s="100">
        <v>7.6999999999999999E-2</v>
      </c>
      <c r="N92" s="101">
        <v>3231.9659999999999</v>
      </c>
      <c r="O92" s="83" t="s">
        <v>454</v>
      </c>
      <c r="P92" s="101">
        <v>1</v>
      </c>
      <c r="Q92" s="83" t="s">
        <v>574</v>
      </c>
      <c r="R92" s="83" t="s">
        <v>575</v>
      </c>
      <c r="S92" s="83" t="s">
        <v>576</v>
      </c>
      <c r="T92" s="83" t="s">
        <v>577</v>
      </c>
      <c r="U92" s="83" t="s">
        <v>578</v>
      </c>
      <c r="V92" s="83" t="s">
        <v>579</v>
      </c>
      <c r="W92" s="102">
        <v>0</v>
      </c>
      <c r="X92" s="100">
        <v>0</v>
      </c>
      <c r="Y92" s="8"/>
      <c r="Z92" s="101">
        <v>84</v>
      </c>
      <c r="AA92" s="83" t="s">
        <v>580</v>
      </c>
      <c r="AB92" s="8" t="s">
        <v>359</v>
      </c>
      <c r="AC92" s="83" t="s">
        <v>581</v>
      </c>
      <c r="AD92" s="100">
        <v>1640</v>
      </c>
      <c r="AE92" s="83" t="s">
        <v>477</v>
      </c>
    </row>
    <row r="93" spans="1:31" ht="12.75" customHeight="1" x14ac:dyDescent="0.2">
      <c r="A93" s="32">
        <v>26</v>
      </c>
      <c r="B93" s="33" t="s">
        <v>582</v>
      </c>
      <c r="C93" s="33" t="s">
        <v>359</v>
      </c>
      <c r="D93" s="100">
        <v>14.2</v>
      </c>
      <c r="E93" s="101">
        <v>9.2309999999999999</v>
      </c>
      <c r="F93" s="100">
        <v>3.94</v>
      </c>
      <c r="G93" s="100">
        <v>13462.39</v>
      </c>
      <c r="H93" s="83" t="s">
        <v>456</v>
      </c>
      <c r="I93" s="83" t="s">
        <v>454</v>
      </c>
      <c r="J93" s="33" t="s">
        <v>454</v>
      </c>
      <c r="K93" s="100">
        <v>1304</v>
      </c>
      <c r="L93" s="100">
        <v>4.1000000000000002E-2</v>
      </c>
      <c r="M93" s="100">
        <v>2.7E-2</v>
      </c>
      <c r="N93" s="101">
        <v>1313.23</v>
      </c>
      <c r="O93" s="83" t="s">
        <v>454</v>
      </c>
      <c r="P93" s="101">
        <v>2</v>
      </c>
      <c r="Q93" s="83" t="s">
        <v>454</v>
      </c>
      <c r="R93" s="83" t="s">
        <v>454</v>
      </c>
      <c r="S93" s="83" t="s">
        <v>454</v>
      </c>
      <c r="T93" s="83" t="s">
        <v>583</v>
      </c>
      <c r="U93" s="83" t="s">
        <v>526</v>
      </c>
      <c r="V93" s="83" t="s">
        <v>584</v>
      </c>
      <c r="W93" s="102">
        <v>0</v>
      </c>
      <c r="X93" s="100">
        <v>0</v>
      </c>
      <c r="Y93" s="8"/>
      <c r="Z93" s="101">
        <v>32</v>
      </c>
      <c r="AA93" s="83" t="s">
        <v>585</v>
      </c>
      <c r="AB93" s="8" t="s">
        <v>359</v>
      </c>
      <c r="AC93" s="83" t="s">
        <v>586</v>
      </c>
      <c r="AD93" s="100">
        <v>77</v>
      </c>
      <c r="AE93" s="83" t="s">
        <v>477</v>
      </c>
    </row>
    <row r="94" spans="1:31" ht="12.75" customHeight="1" x14ac:dyDescent="0.2">
      <c r="A94" s="32">
        <v>29</v>
      </c>
      <c r="B94" s="33" t="s">
        <v>587</v>
      </c>
      <c r="C94" s="33" t="s">
        <v>451</v>
      </c>
      <c r="D94" s="100">
        <v>3.6</v>
      </c>
      <c r="E94" s="101" t="s">
        <v>454</v>
      </c>
      <c r="F94" s="100">
        <v>1</v>
      </c>
      <c r="G94" s="100">
        <v>3413</v>
      </c>
      <c r="H94" s="83" t="s">
        <v>454</v>
      </c>
      <c r="I94" s="83" t="s">
        <v>454</v>
      </c>
      <c r="J94" s="33" t="s">
        <v>454</v>
      </c>
      <c r="K94" s="100" t="s">
        <v>454</v>
      </c>
      <c r="L94" s="100" t="s">
        <v>454</v>
      </c>
      <c r="M94" s="100" t="s">
        <v>454</v>
      </c>
      <c r="N94" s="101" t="s">
        <v>454</v>
      </c>
      <c r="O94" s="83" t="s">
        <v>454</v>
      </c>
      <c r="P94" s="101">
        <v>0</v>
      </c>
      <c r="Q94" s="83" t="s">
        <v>454</v>
      </c>
      <c r="R94" s="83" t="s">
        <v>454</v>
      </c>
      <c r="S94" s="83" t="s">
        <v>454</v>
      </c>
      <c r="T94" s="83" t="s">
        <v>454</v>
      </c>
      <c r="U94" s="83" t="s">
        <v>454</v>
      </c>
      <c r="V94" s="83" t="s">
        <v>454</v>
      </c>
      <c r="W94" s="102">
        <v>0</v>
      </c>
      <c r="X94" s="100">
        <v>0</v>
      </c>
      <c r="Y94" s="8"/>
      <c r="Z94" s="101">
        <v>33</v>
      </c>
      <c r="AA94" s="83" t="s">
        <v>588</v>
      </c>
      <c r="AB94" s="8" t="s">
        <v>359</v>
      </c>
      <c r="AC94" s="83" t="s">
        <v>589</v>
      </c>
      <c r="AD94" s="100">
        <v>609</v>
      </c>
      <c r="AE94" s="83" t="s">
        <v>477</v>
      </c>
    </row>
    <row r="95" spans="1:31" ht="12.75" customHeight="1" x14ac:dyDescent="0.2">
      <c r="A95" s="32">
        <v>30</v>
      </c>
      <c r="B95" s="33" t="s">
        <v>208</v>
      </c>
      <c r="C95" s="33" t="s">
        <v>590</v>
      </c>
      <c r="D95" s="100">
        <v>1000</v>
      </c>
      <c r="E95" s="101">
        <v>0</v>
      </c>
      <c r="F95" s="100">
        <v>277.77777700000001</v>
      </c>
      <c r="G95" s="100">
        <v>948055.52</v>
      </c>
      <c r="H95" s="83" t="s">
        <v>454</v>
      </c>
      <c r="I95" s="83" t="s">
        <v>454</v>
      </c>
      <c r="J95" s="33" t="s">
        <v>454</v>
      </c>
      <c r="K95" s="100" t="s">
        <v>454</v>
      </c>
      <c r="L95" s="100" t="s">
        <v>454</v>
      </c>
      <c r="M95" s="100" t="s">
        <v>454</v>
      </c>
      <c r="N95" s="101" t="s">
        <v>454</v>
      </c>
      <c r="O95" s="83" t="s">
        <v>454</v>
      </c>
      <c r="P95" s="101">
        <v>0</v>
      </c>
      <c r="Q95" s="83" t="s">
        <v>454</v>
      </c>
      <c r="R95" s="83" t="s">
        <v>454</v>
      </c>
      <c r="S95" s="83" t="s">
        <v>454</v>
      </c>
      <c r="T95" s="83" t="s">
        <v>454</v>
      </c>
      <c r="U95" s="83" t="s">
        <v>454</v>
      </c>
      <c r="V95" s="83" t="s">
        <v>454</v>
      </c>
      <c r="W95" s="102">
        <v>0</v>
      </c>
      <c r="X95" s="100">
        <v>0</v>
      </c>
      <c r="Y95" s="8"/>
      <c r="Z95" s="101">
        <v>34</v>
      </c>
      <c r="AA95" s="83" t="s">
        <v>591</v>
      </c>
      <c r="AB95" s="8" t="s">
        <v>359</v>
      </c>
      <c r="AC95" s="83" t="s">
        <v>592</v>
      </c>
      <c r="AD95" s="100">
        <v>725</v>
      </c>
      <c r="AE95" s="83" t="s">
        <v>477</v>
      </c>
    </row>
    <row r="96" spans="1:31" ht="12.75" customHeight="1" x14ac:dyDescent="0.2">
      <c r="A96" s="32">
        <v>31</v>
      </c>
      <c r="B96" s="33" t="s">
        <v>593</v>
      </c>
      <c r="C96" s="33" t="s">
        <v>594</v>
      </c>
      <c r="D96" s="100">
        <v>1.0547902</v>
      </c>
      <c r="E96" s="101">
        <v>0</v>
      </c>
      <c r="F96" s="100">
        <v>0.29299730000000002</v>
      </c>
      <c r="G96" s="100">
        <v>1000</v>
      </c>
      <c r="H96" s="83" t="s">
        <v>454</v>
      </c>
      <c r="I96" s="83" t="s">
        <v>454</v>
      </c>
      <c r="J96" s="33" t="s">
        <v>454</v>
      </c>
      <c r="K96" s="100" t="s">
        <v>454</v>
      </c>
      <c r="L96" s="100" t="s">
        <v>454</v>
      </c>
      <c r="M96" s="100" t="s">
        <v>454</v>
      </c>
      <c r="N96" s="101" t="s">
        <v>454</v>
      </c>
      <c r="O96" s="83" t="s">
        <v>454</v>
      </c>
      <c r="P96" s="101">
        <v>0</v>
      </c>
      <c r="Q96" s="83" t="s">
        <v>454</v>
      </c>
      <c r="R96" s="83" t="s">
        <v>454</v>
      </c>
      <c r="S96" s="83" t="s">
        <v>454</v>
      </c>
      <c r="T96" s="83" t="s">
        <v>454</v>
      </c>
      <c r="U96" s="83" t="s">
        <v>454</v>
      </c>
      <c r="V96" s="83" t="s">
        <v>454</v>
      </c>
      <c r="W96" s="102">
        <v>0</v>
      </c>
      <c r="X96" s="100">
        <v>0</v>
      </c>
      <c r="Y96" s="8"/>
      <c r="Z96" s="101">
        <v>35</v>
      </c>
      <c r="AA96" s="83" t="s">
        <v>595</v>
      </c>
      <c r="AB96" s="8" t="s">
        <v>359</v>
      </c>
      <c r="AC96" s="83" t="s">
        <v>596</v>
      </c>
      <c r="AD96" s="100">
        <v>2310</v>
      </c>
      <c r="AE96" s="83" t="s">
        <v>477</v>
      </c>
    </row>
    <row r="97" spans="1:31" ht="12.75" customHeight="1" x14ac:dyDescent="0.2">
      <c r="A97" s="32">
        <v>36</v>
      </c>
      <c r="B97" s="33" t="s">
        <v>597</v>
      </c>
      <c r="C97" s="33" t="s">
        <v>359</v>
      </c>
      <c r="D97" s="100">
        <v>14.77</v>
      </c>
      <c r="E97" s="101">
        <v>35.966000000000001</v>
      </c>
      <c r="F97" s="100">
        <v>4.0999999999999996</v>
      </c>
      <c r="G97" s="100">
        <v>14002.74</v>
      </c>
      <c r="H97" s="83" t="s">
        <v>456</v>
      </c>
      <c r="I97" s="83" t="s">
        <v>454</v>
      </c>
      <c r="J97" s="33">
        <v>1</v>
      </c>
      <c r="K97" s="100">
        <v>1799</v>
      </c>
      <c r="L97" s="100">
        <v>0.57599999999999996</v>
      </c>
      <c r="M97" s="100">
        <v>7.6999999999999999E-2</v>
      </c>
      <c r="N97" s="101">
        <v>1834.97</v>
      </c>
      <c r="O97" s="83" t="s">
        <v>454</v>
      </c>
      <c r="P97" s="101">
        <v>2</v>
      </c>
      <c r="Q97" s="83" t="s">
        <v>598</v>
      </c>
      <c r="R97" s="83" t="s">
        <v>599</v>
      </c>
      <c r="S97" s="83" t="s">
        <v>380</v>
      </c>
      <c r="T97" s="83" t="s">
        <v>577</v>
      </c>
      <c r="U97" s="83" t="s">
        <v>578</v>
      </c>
      <c r="V97" s="83" t="s">
        <v>579</v>
      </c>
      <c r="W97" s="102">
        <v>0</v>
      </c>
      <c r="X97" s="100">
        <v>0</v>
      </c>
      <c r="Y97" s="8"/>
      <c r="Z97" s="101">
        <v>36</v>
      </c>
      <c r="AA97" s="83" t="s">
        <v>600</v>
      </c>
      <c r="AB97" s="8" t="s">
        <v>359</v>
      </c>
      <c r="AC97" s="83" t="s">
        <v>601</v>
      </c>
      <c r="AD97" s="100">
        <v>122</v>
      </c>
      <c r="AE97" s="83" t="s">
        <v>477</v>
      </c>
    </row>
    <row r="98" spans="1:31" ht="12.75" customHeight="1" x14ac:dyDescent="0.2">
      <c r="A98">
        <v>59</v>
      </c>
      <c r="B98" t="s">
        <v>602</v>
      </c>
      <c r="C98" t="s">
        <v>359</v>
      </c>
      <c r="D98" s="8">
        <v>20</v>
      </c>
      <c r="E98" s="8">
        <v>35.966000000000001</v>
      </c>
      <c r="F98" s="8">
        <v>5.5555554999999996</v>
      </c>
      <c r="G98" s="8">
        <v>18960.955555500001</v>
      </c>
      <c r="H98" s="8" t="s">
        <v>603</v>
      </c>
      <c r="I98" s="8"/>
      <c r="J98">
        <v>1</v>
      </c>
      <c r="K98" s="8">
        <v>1799</v>
      </c>
      <c r="L98" s="8">
        <v>0.57599999999999996</v>
      </c>
      <c r="M98" s="8">
        <v>7.6999999999999999E-2</v>
      </c>
      <c r="N98" s="8">
        <v>1834.97</v>
      </c>
      <c r="O98" s="8"/>
      <c r="P98" s="8">
        <v>2</v>
      </c>
      <c r="Q98" s="8"/>
      <c r="R98" s="8"/>
      <c r="S98" s="8"/>
      <c r="T98" s="8"/>
      <c r="U98" s="8"/>
      <c r="V98" s="8"/>
      <c r="W98" s="8">
        <v>0</v>
      </c>
      <c r="X98" s="8">
        <v>0</v>
      </c>
      <c r="Y98" s="8"/>
      <c r="Z98" s="101">
        <v>37</v>
      </c>
      <c r="AA98" s="83" t="s">
        <v>604</v>
      </c>
      <c r="AB98" s="8" t="s">
        <v>359</v>
      </c>
      <c r="AC98" s="83" t="s">
        <v>605</v>
      </c>
      <c r="AD98" s="100">
        <v>595</v>
      </c>
      <c r="AE98" s="83" t="s">
        <v>477</v>
      </c>
    </row>
    <row r="99" spans="1:31" ht="12.75" customHeight="1" x14ac:dyDescent="0.2">
      <c r="A99" s="32">
        <v>37</v>
      </c>
      <c r="B99" s="33" t="s">
        <v>606</v>
      </c>
      <c r="C99" s="33" t="s">
        <v>458</v>
      </c>
      <c r="D99" s="100">
        <v>43.24</v>
      </c>
      <c r="E99" s="101">
        <v>2146.88</v>
      </c>
      <c r="F99" s="100">
        <v>12.01</v>
      </c>
      <c r="G99" s="100">
        <v>40993.919999999998</v>
      </c>
      <c r="H99" s="83" t="s">
        <v>456</v>
      </c>
      <c r="I99" s="83" t="s">
        <v>454</v>
      </c>
      <c r="J99" s="33" t="s">
        <v>454</v>
      </c>
      <c r="K99" s="100">
        <v>2140</v>
      </c>
      <c r="L99" s="100">
        <v>0</v>
      </c>
      <c r="M99" s="100">
        <v>2.2200000000000001E-2</v>
      </c>
      <c r="N99" s="101">
        <v>2146.88</v>
      </c>
      <c r="O99" s="83" t="s">
        <v>454</v>
      </c>
      <c r="P99" s="101">
        <v>1</v>
      </c>
      <c r="Q99" s="83" t="s">
        <v>454</v>
      </c>
      <c r="R99" s="83" t="s">
        <v>454</v>
      </c>
      <c r="S99" s="83" t="s">
        <v>454</v>
      </c>
      <c r="T99" s="83" t="s">
        <v>534</v>
      </c>
      <c r="U99" s="83" t="s">
        <v>535</v>
      </c>
      <c r="V99" s="83" t="s">
        <v>536</v>
      </c>
      <c r="W99" s="102">
        <v>0.188</v>
      </c>
      <c r="X99" s="100">
        <v>329.00131599999997</v>
      </c>
      <c r="Y99" s="8"/>
      <c r="Z99" s="101">
        <v>24</v>
      </c>
      <c r="AA99" s="83" t="s">
        <v>607</v>
      </c>
      <c r="AB99" s="8" t="s">
        <v>359</v>
      </c>
      <c r="AC99" s="83" t="s">
        <v>608</v>
      </c>
      <c r="AD99" s="100">
        <v>23900</v>
      </c>
      <c r="AE99" s="83" t="s">
        <v>456</v>
      </c>
    </row>
    <row r="100" spans="1:31" ht="12.75" customHeight="1" x14ac:dyDescent="0.2">
      <c r="A100" s="32">
        <v>39</v>
      </c>
      <c r="B100" s="33" t="s">
        <v>609</v>
      </c>
      <c r="C100" s="33" t="s">
        <v>359</v>
      </c>
      <c r="D100" s="100">
        <v>16.72</v>
      </c>
      <c r="E100" s="101">
        <v>714.94719999999995</v>
      </c>
      <c r="F100" s="100">
        <v>4.644444</v>
      </c>
      <c r="G100" s="100">
        <v>15851.488890000001</v>
      </c>
      <c r="H100" s="83" t="s">
        <v>610</v>
      </c>
      <c r="I100" s="83" t="s">
        <v>454</v>
      </c>
      <c r="J100" s="33" t="s">
        <v>454</v>
      </c>
      <c r="K100" s="100">
        <v>715.94719999999995</v>
      </c>
      <c r="L100" s="100">
        <v>0</v>
      </c>
      <c r="M100" s="100">
        <v>0</v>
      </c>
      <c r="N100" s="101">
        <v>714.94719999999995</v>
      </c>
      <c r="O100" s="83" t="s">
        <v>454</v>
      </c>
      <c r="P100" s="101">
        <v>1</v>
      </c>
      <c r="Q100" s="83" t="s">
        <v>454</v>
      </c>
      <c r="R100" s="83" t="s">
        <v>454</v>
      </c>
      <c r="S100" s="83" t="s">
        <v>454</v>
      </c>
      <c r="T100" s="83" t="s">
        <v>611</v>
      </c>
      <c r="U100" s="83" t="s">
        <v>454</v>
      </c>
      <c r="V100" s="83" t="s">
        <v>454</v>
      </c>
      <c r="W100" s="102">
        <v>0</v>
      </c>
      <c r="X100" s="100">
        <v>0</v>
      </c>
      <c r="Y100" s="8"/>
      <c r="Z100" s="101">
        <v>8</v>
      </c>
      <c r="AA100" s="83" t="s">
        <v>612</v>
      </c>
      <c r="AB100" s="8" t="s">
        <v>359</v>
      </c>
      <c r="AC100" s="83" t="s">
        <v>613</v>
      </c>
      <c r="AD100" s="100">
        <v>2800</v>
      </c>
      <c r="AE100" s="83" t="s">
        <v>456</v>
      </c>
    </row>
    <row r="101" spans="1:31" ht="12.75" customHeight="1" x14ac:dyDescent="0.2">
      <c r="A101" s="32">
        <v>40</v>
      </c>
      <c r="B101" s="33" t="s">
        <v>614</v>
      </c>
      <c r="C101" s="33" t="s">
        <v>471</v>
      </c>
      <c r="D101" s="100">
        <v>39.159999999999997</v>
      </c>
      <c r="E101" s="101">
        <v>2422.36</v>
      </c>
      <c r="F101" s="100">
        <v>10.877777777777776</v>
      </c>
      <c r="G101" s="100">
        <v>37125.85555555555</v>
      </c>
      <c r="H101" s="83" t="s">
        <v>456</v>
      </c>
      <c r="I101" s="83" t="s">
        <v>454</v>
      </c>
      <c r="J101" s="33" t="s">
        <v>454</v>
      </c>
      <c r="K101" s="100">
        <v>2400</v>
      </c>
      <c r="L101" s="100">
        <v>0.12</v>
      </c>
      <c r="M101" s="100">
        <v>6.4000000000000001E-2</v>
      </c>
      <c r="N101" s="101">
        <v>2422.36</v>
      </c>
      <c r="O101" s="83" t="s">
        <v>454</v>
      </c>
      <c r="P101" s="101">
        <v>1</v>
      </c>
      <c r="Q101" s="83" t="s">
        <v>454</v>
      </c>
      <c r="R101" s="83" t="s">
        <v>454</v>
      </c>
      <c r="S101" s="83" t="s">
        <v>454</v>
      </c>
      <c r="T101" s="83" t="s">
        <v>454</v>
      </c>
      <c r="U101" s="83" t="s">
        <v>454</v>
      </c>
      <c r="V101" s="83" t="s">
        <v>454</v>
      </c>
      <c r="W101" s="102">
        <v>0</v>
      </c>
      <c r="X101" s="100">
        <v>0</v>
      </c>
      <c r="Y101" s="8"/>
      <c r="Z101" s="101">
        <v>9</v>
      </c>
      <c r="AA101" s="83" t="s">
        <v>615</v>
      </c>
      <c r="AB101" s="8" t="s">
        <v>359</v>
      </c>
      <c r="AC101" s="83" t="s">
        <v>616</v>
      </c>
      <c r="AD101" s="100">
        <v>1000</v>
      </c>
      <c r="AE101" s="83" t="s">
        <v>456</v>
      </c>
    </row>
    <row r="102" spans="1:31" ht="12.75" customHeight="1" x14ac:dyDescent="0.2">
      <c r="A102" s="32">
        <v>41</v>
      </c>
      <c r="B102" s="33" t="s">
        <v>617</v>
      </c>
      <c r="C102" s="33" t="s">
        <v>471</v>
      </c>
      <c r="D102" s="100">
        <v>38.78</v>
      </c>
      <c r="E102" s="101">
        <v>2652.7360000000003</v>
      </c>
      <c r="F102" s="100">
        <v>10.772222222222222</v>
      </c>
      <c r="G102" s="100">
        <v>36765.594444444447</v>
      </c>
      <c r="H102" s="83" t="s">
        <v>618</v>
      </c>
      <c r="I102" s="83" t="s">
        <v>454</v>
      </c>
      <c r="J102" s="33" t="s">
        <v>454</v>
      </c>
      <c r="K102" s="100">
        <v>2643</v>
      </c>
      <c r="L102" s="100">
        <v>6.0000000000000001E-3</v>
      </c>
      <c r="M102" s="100">
        <v>3.1E-2</v>
      </c>
      <c r="N102" s="101">
        <v>2652.7360000000003</v>
      </c>
      <c r="O102" s="83" t="s">
        <v>454</v>
      </c>
      <c r="P102" s="101">
        <v>1</v>
      </c>
      <c r="Q102" s="83" t="s">
        <v>454</v>
      </c>
      <c r="R102" s="83" t="s">
        <v>454</v>
      </c>
      <c r="S102" s="83" t="s">
        <v>454</v>
      </c>
      <c r="T102" s="83" t="s">
        <v>454</v>
      </c>
      <c r="U102" s="83" t="s">
        <v>454</v>
      </c>
      <c r="V102" s="83" t="s">
        <v>454</v>
      </c>
      <c r="W102" s="102">
        <v>0.107</v>
      </c>
      <c r="X102" s="100">
        <v>283.84275200000002</v>
      </c>
      <c r="Y102" s="8"/>
      <c r="Z102" s="101">
        <v>11</v>
      </c>
      <c r="AA102" s="83" t="s">
        <v>619</v>
      </c>
      <c r="AB102" s="8" t="s">
        <v>359</v>
      </c>
      <c r="AC102" s="83" t="s">
        <v>620</v>
      </c>
      <c r="AD102" s="100">
        <v>300</v>
      </c>
      <c r="AE102" s="83" t="s">
        <v>456</v>
      </c>
    </row>
    <row r="103" spans="1:31" ht="12.75" customHeight="1" x14ac:dyDescent="0.2">
      <c r="A103" s="32">
        <v>45</v>
      </c>
      <c r="B103" s="33" t="s">
        <v>621</v>
      </c>
      <c r="C103" s="33" t="s">
        <v>471</v>
      </c>
      <c r="D103" s="100">
        <v>40.57</v>
      </c>
      <c r="E103" s="101">
        <v>3503.681</v>
      </c>
      <c r="F103" s="100">
        <v>11.269444444444444</v>
      </c>
      <c r="G103" s="100">
        <v>38462.613888888889</v>
      </c>
      <c r="H103" s="83" t="s">
        <v>456</v>
      </c>
      <c r="I103" s="83" t="s">
        <v>454</v>
      </c>
      <c r="J103" s="33" t="s">
        <v>454</v>
      </c>
      <c r="K103" s="100">
        <v>3494</v>
      </c>
      <c r="L103" s="100">
        <v>0.12</v>
      </c>
      <c r="M103" s="100">
        <v>2.3099999999999999E-2</v>
      </c>
      <c r="N103" s="101">
        <v>3503.681</v>
      </c>
      <c r="O103" s="83" t="s">
        <v>454</v>
      </c>
      <c r="P103" s="101">
        <v>1</v>
      </c>
      <c r="Q103" s="83" t="s">
        <v>454</v>
      </c>
      <c r="R103" s="83" t="s">
        <v>454</v>
      </c>
      <c r="S103" s="83" t="s">
        <v>454</v>
      </c>
      <c r="T103" s="83" t="s">
        <v>454</v>
      </c>
      <c r="U103" s="83" t="s">
        <v>454</v>
      </c>
      <c r="V103" s="83" t="s">
        <v>454</v>
      </c>
      <c r="W103" s="102">
        <v>0.08</v>
      </c>
      <c r="X103" s="100">
        <v>280.29448000000002</v>
      </c>
      <c r="Y103" s="8"/>
      <c r="Z103" s="101">
        <v>12</v>
      </c>
      <c r="AA103" s="83" t="s">
        <v>622</v>
      </c>
      <c r="AB103" s="8" t="s">
        <v>359</v>
      </c>
      <c r="AC103" s="83" t="s">
        <v>620</v>
      </c>
      <c r="AD103" s="100">
        <v>3800</v>
      </c>
      <c r="AE103" s="83" t="s">
        <v>456</v>
      </c>
    </row>
    <row r="104" spans="1:31" ht="12.75" customHeight="1" x14ac:dyDescent="0.2">
      <c r="A104" s="32">
        <v>46</v>
      </c>
      <c r="B104" s="33" t="s">
        <v>623</v>
      </c>
      <c r="C104" s="33" t="s">
        <v>471</v>
      </c>
      <c r="D104" s="100">
        <v>23.41</v>
      </c>
      <c r="E104" s="101">
        <v>1519</v>
      </c>
      <c r="F104" s="100">
        <v>6.5027777777777773</v>
      </c>
      <c r="G104" s="100">
        <v>22193.980555555554</v>
      </c>
      <c r="H104" s="83" t="s">
        <v>456</v>
      </c>
      <c r="I104" s="83" t="s">
        <v>454</v>
      </c>
      <c r="J104" s="33" t="s">
        <v>454</v>
      </c>
      <c r="K104" s="100">
        <v>1519</v>
      </c>
      <c r="L104" s="100">
        <v>0</v>
      </c>
      <c r="M104" s="100">
        <v>0</v>
      </c>
      <c r="N104" s="101">
        <v>1519</v>
      </c>
      <c r="O104" s="83" t="s">
        <v>454</v>
      </c>
      <c r="P104" s="101">
        <v>2</v>
      </c>
      <c r="Q104" s="83" t="s">
        <v>454</v>
      </c>
      <c r="R104" s="83" t="s">
        <v>454</v>
      </c>
      <c r="S104" s="83" t="s">
        <v>454</v>
      </c>
      <c r="T104" s="83" t="s">
        <v>454</v>
      </c>
      <c r="U104" s="83" t="s">
        <v>454</v>
      </c>
      <c r="V104" s="83" t="s">
        <v>454</v>
      </c>
      <c r="W104" s="102">
        <v>0</v>
      </c>
      <c r="X104" s="100">
        <v>0</v>
      </c>
      <c r="Y104" s="8"/>
      <c r="Z104" s="101">
        <v>13</v>
      </c>
      <c r="AA104" s="83" t="s">
        <v>624</v>
      </c>
      <c r="AB104" s="8" t="s">
        <v>359</v>
      </c>
      <c r="AC104" s="83" t="s">
        <v>625</v>
      </c>
      <c r="AD104" s="100">
        <v>140</v>
      </c>
      <c r="AE104" s="83" t="s">
        <v>456</v>
      </c>
    </row>
    <row r="105" spans="1:31" ht="12.75" customHeight="1" x14ac:dyDescent="0.2">
      <c r="A105" s="32">
        <v>47</v>
      </c>
      <c r="B105" s="33" t="s">
        <v>626</v>
      </c>
      <c r="C105" s="33" t="s">
        <v>471</v>
      </c>
      <c r="D105" s="100">
        <v>35.67</v>
      </c>
      <c r="E105" s="101">
        <v>0</v>
      </c>
      <c r="F105" s="100">
        <v>9.9083333333333332</v>
      </c>
      <c r="G105" s="100">
        <v>33817.141666666663</v>
      </c>
      <c r="H105" s="83" t="s">
        <v>456</v>
      </c>
      <c r="I105" s="83" t="s">
        <v>454</v>
      </c>
      <c r="J105" s="33" t="s">
        <v>454</v>
      </c>
      <c r="K105" s="100">
        <v>2497</v>
      </c>
      <c r="L105" s="100">
        <v>0</v>
      </c>
      <c r="M105" s="100">
        <v>0</v>
      </c>
      <c r="N105" s="101">
        <v>2497</v>
      </c>
      <c r="O105" s="83" t="s">
        <v>454</v>
      </c>
      <c r="P105" s="101">
        <v>2</v>
      </c>
      <c r="Q105" s="83" t="s">
        <v>454</v>
      </c>
      <c r="R105" s="83" t="s">
        <v>454</v>
      </c>
      <c r="S105" s="83" t="s">
        <v>454</v>
      </c>
      <c r="T105" s="83" t="s">
        <v>454</v>
      </c>
      <c r="U105" s="83" t="s">
        <v>454</v>
      </c>
      <c r="V105" s="83" t="s">
        <v>454</v>
      </c>
      <c r="W105" s="102">
        <v>0</v>
      </c>
      <c r="X105" s="100">
        <v>0</v>
      </c>
      <c r="Y105" s="8"/>
      <c r="Z105" s="101">
        <v>77</v>
      </c>
      <c r="AA105" s="83" t="s">
        <v>627</v>
      </c>
      <c r="AB105" s="8" t="s">
        <v>359</v>
      </c>
      <c r="AC105" s="83" t="s">
        <v>628</v>
      </c>
      <c r="AD105" s="100">
        <v>12</v>
      </c>
      <c r="AE105" s="83" t="s">
        <v>456</v>
      </c>
    </row>
    <row r="106" spans="1:31" ht="12.75" customHeight="1" x14ac:dyDescent="0.2">
      <c r="A106" s="32">
        <v>48</v>
      </c>
      <c r="B106" s="33" t="s">
        <v>629</v>
      </c>
      <c r="C106" s="33" t="s">
        <v>471</v>
      </c>
      <c r="D106" s="100">
        <v>34.840000000000003</v>
      </c>
      <c r="E106" s="101">
        <v>0</v>
      </c>
      <c r="F106" s="100">
        <v>9.6777777777777789</v>
      </c>
      <c r="G106" s="100">
        <v>33030.255555555559</v>
      </c>
      <c r="H106" s="83" t="s">
        <v>456</v>
      </c>
      <c r="I106" s="83" t="s">
        <v>454</v>
      </c>
      <c r="J106" s="33" t="s">
        <v>454</v>
      </c>
      <c r="K106" s="100">
        <v>2348</v>
      </c>
      <c r="L106" s="100">
        <v>0</v>
      </c>
      <c r="M106" s="100">
        <v>0</v>
      </c>
      <c r="N106" s="101">
        <v>2348</v>
      </c>
      <c r="O106" s="83" t="s">
        <v>454</v>
      </c>
      <c r="P106" s="101">
        <v>2</v>
      </c>
      <c r="Q106" s="83" t="s">
        <v>454</v>
      </c>
      <c r="R106" s="83" t="s">
        <v>454</v>
      </c>
      <c r="S106" s="83" t="s">
        <v>454</v>
      </c>
      <c r="T106" s="83" t="s">
        <v>454</v>
      </c>
      <c r="U106" s="83" t="s">
        <v>454</v>
      </c>
      <c r="V106" s="83" t="s">
        <v>454</v>
      </c>
      <c r="W106" s="102">
        <v>0</v>
      </c>
      <c r="X106" s="100">
        <v>0</v>
      </c>
      <c r="Y106" s="8"/>
      <c r="Z106" s="101">
        <v>14</v>
      </c>
      <c r="AA106" s="83" t="s">
        <v>630</v>
      </c>
      <c r="AB106" s="8" t="s">
        <v>359</v>
      </c>
      <c r="AC106" s="83" t="s">
        <v>631</v>
      </c>
      <c r="AD106" s="100">
        <v>2900</v>
      </c>
      <c r="AE106" s="83" t="s">
        <v>456</v>
      </c>
    </row>
    <row r="107" spans="1:31" ht="12.75" customHeight="1" x14ac:dyDescent="0.2">
      <c r="A107" s="32">
        <v>49</v>
      </c>
      <c r="B107" s="33" t="s">
        <v>632</v>
      </c>
      <c r="C107" s="33" t="s">
        <v>471</v>
      </c>
      <c r="D107" s="100">
        <v>33.44</v>
      </c>
      <c r="E107" s="101">
        <v>0</v>
      </c>
      <c r="F107" s="100">
        <v>9.2888888888888879</v>
      </c>
      <c r="G107" s="100">
        <v>31702.977777777774</v>
      </c>
      <c r="H107" s="83" t="s">
        <v>456</v>
      </c>
      <c r="I107" s="83" t="s">
        <v>454</v>
      </c>
      <c r="J107" s="33" t="s">
        <v>454</v>
      </c>
      <c r="K107" s="100">
        <v>2585</v>
      </c>
      <c r="L107" s="100">
        <v>0</v>
      </c>
      <c r="M107" s="100">
        <v>0</v>
      </c>
      <c r="N107" s="101">
        <v>2585</v>
      </c>
      <c r="O107" s="83" t="s">
        <v>454</v>
      </c>
      <c r="P107" s="101">
        <v>2</v>
      </c>
      <c r="Q107" s="83" t="s">
        <v>454</v>
      </c>
      <c r="R107" s="83" t="s">
        <v>454</v>
      </c>
      <c r="S107" s="83" t="s">
        <v>454</v>
      </c>
      <c r="T107" s="83" t="s">
        <v>454</v>
      </c>
      <c r="U107" s="83" t="s">
        <v>454</v>
      </c>
      <c r="V107" s="83" t="s">
        <v>454</v>
      </c>
      <c r="W107" s="102">
        <v>0</v>
      </c>
      <c r="X107" s="100">
        <v>0</v>
      </c>
      <c r="Y107" s="8"/>
      <c r="Z107" s="101">
        <v>4</v>
      </c>
      <c r="AA107" s="83" t="s">
        <v>633</v>
      </c>
      <c r="AB107" s="8" t="s">
        <v>359</v>
      </c>
      <c r="AC107" s="83" t="s">
        <v>634</v>
      </c>
      <c r="AD107" s="100">
        <v>11700</v>
      </c>
      <c r="AE107" s="83" t="s">
        <v>456</v>
      </c>
    </row>
    <row r="108" spans="1:31" ht="12.75" customHeight="1" x14ac:dyDescent="0.2">
      <c r="A108" s="32">
        <v>50</v>
      </c>
      <c r="B108" s="33" t="s">
        <v>635</v>
      </c>
      <c r="C108" s="33" t="s">
        <v>359</v>
      </c>
      <c r="D108" s="100">
        <v>29.82</v>
      </c>
      <c r="E108" s="101">
        <v>2346.83</v>
      </c>
      <c r="F108" s="100">
        <v>8.2833333333333332</v>
      </c>
      <c r="G108" s="100">
        <v>28271.016666666666</v>
      </c>
      <c r="H108" s="83" t="s">
        <v>636</v>
      </c>
      <c r="I108" s="83" t="s">
        <v>454</v>
      </c>
      <c r="J108" s="33" t="s">
        <v>454</v>
      </c>
      <c r="K108" s="100">
        <v>2340</v>
      </c>
      <c r="L108" s="100">
        <v>0.03</v>
      </c>
      <c r="M108" s="100">
        <v>0.02</v>
      </c>
      <c r="N108" s="101">
        <v>2346.83</v>
      </c>
      <c r="O108" s="83" t="s">
        <v>454</v>
      </c>
      <c r="P108" s="101">
        <v>1</v>
      </c>
      <c r="Q108" s="83" t="s">
        <v>454</v>
      </c>
      <c r="R108" s="83" t="s">
        <v>454</v>
      </c>
      <c r="S108" s="83" t="s">
        <v>454</v>
      </c>
      <c r="T108" s="83" t="s">
        <v>454</v>
      </c>
      <c r="U108" s="83" t="s">
        <v>454</v>
      </c>
      <c r="V108" s="83" t="s">
        <v>454</v>
      </c>
      <c r="W108" s="102">
        <v>0.08</v>
      </c>
      <c r="X108" s="100">
        <v>187.74639999999999</v>
      </c>
      <c r="Y108" s="8"/>
      <c r="Z108" s="101">
        <v>78</v>
      </c>
      <c r="AA108" s="83" t="s">
        <v>637</v>
      </c>
      <c r="AB108" s="8" t="s">
        <v>359</v>
      </c>
      <c r="AC108" s="83" t="s">
        <v>638</v>
      </c>
      <c r="AD108" s="100">
        <v>1300</v>
      </c>
      <c r="AE108" s="83" t="s">
        <v>456</v>
      </c>
    </row>
    <row r="109" spans="1:31" ht="12.75" customHeight="1" x14ac:dyDescent="0.2">
      <c r="A109" s="32">
        <v>51</v>
      </c>
      <c r="B109" s="33" t="s">
        <v>639</v>
      </c>
      <c r="C109" s="33" t="s">
        <v>359</v>
      </c>
      <c r="D109" s="100">
        <v>11.57</v>
      </c>
      <c r="E109" s="101">
        <v>21.642099999999999</v>
      </c>
      <c r="F109" s="100">
        <v>3.213888888888889</v>
      </c>
      <c r="G109" s="100">
        <v>10969.002777777778</v>
      </c>
      <c r="H109" s="83" t="s">
        <v>640</v>
      </c>
      <c r="I109" s="83" t="s">
        <v>454</v>
      </c>
      <c r="J109" s="33" t="s">
        <v>454</v>
      </c>
      <c r="K109" s="100">
        <v>990.39200000000005</v>
      </c>
      <c r="L109" s="100">
        <v>0.34710000000000002</v>
      </c>
      <c r="M109" s="100">
        <v>4.6280000000000002E-2</v>
      </c>
      <c r="N109" s="101">
        <v>1012.034</v>
      </c>
      <c r="O109" s="83" t="s">
        <v>454</v>
      </c>
      <c r="P109" s="101">
        <v>2</v>
      </c>
      <c r="Q109" s="83" t="s">
        <v>454</v>
      </c>
      <c r="R109" s="83" t="s">
        <v>454</v>
      </c>
      <c r="S109" s="83" t="s">
        <v>454</v>
      </c>
      <c r="T109" s="83" t="s">
        <v>454</v>
      </c>
      <c r="U109" s="83" t="s">
        <v>454</v>
      </c>
      <c r="V109" s="83" t="s">
        <v>454</v>
      </c>
      <c r="W109" s="102">
        <v>0</v>
      </c>
      <c r="X109" s="100">
        <v>0</v>
      </c>
      <c r="Y109" s="8"/>
      <c r="Z109" s="101">
        <v>79</v>
      </c>
      <c r="AA109" s="83" t="s">
        <v>641</v>
      </c>
      <c r="AB109" s="8" t="s">
        <v>359</v>
      </c>
      <c r="AC109" s="83" t="s">
        <v>638</v>
      </c>
      <c r="AD109" s="100">
        <v>1200</v>
      </c>
      <c r="AE109" s="83" t="s">
        <v>456</v>
      </c>
    </row>
    <row r="110" spans="1:31" ht="12.75" customHeight="1" x14ac:dyDescent="0.2">
      <c r="A110" s="32">
        <v>52</v>
      </c>
      <c r="B110" s="33" t="s">
        <v>642</v>
      </c>
      <c r="C110" s="33" t="s">
        <v>359</v>
      </c>
      <c r="D110" s="100">
        <v>9.3000000000000007</v>
      </c>
      <c r="E110" s="101">
        <v>4.5198</v>
      </c>
      <c r="F110" s="100">
        <v>2.5833333333333335</v>
      </c>
      <c r="G110" s="100">
        <v>8816.9166666666679</v>
      </c>
      <c r="H110" s="83" t="s">
        <v>643</v>
      </c>
      <c r="I110" s="83" t="s">
        <v>454</v>
      </c>
      <c r="J110" s="33">
        <v>1</v>
      </c>
      <c r="K110" s="100">
        <v>957.9</v>
      </c>
      <c r="L110" s="100">
        <v>8.9999999999999993E-3</v>
      </c>
      <c r="M110" s="100">
        <v>1.3950000000000001E-2</v>
      </c>
      <c r="N110" s="101">
        <v>962.41980000000001</v>
      </c>
      <c r="O110" s="83" t="s">
        <v>454</v>
      </c>
      <c r="P110" s="101">
        <v>2</v>
      </c>
      <c r="Q110" s="83" t="s">
        <v>454</v>
      </c>
      <c r="R110" s="83" t="s">
        <v>454</v>
      </c>
      <c r="S110" s="83" t="s">
        <v>454</v>
      </c>
      <c r="T110" s="83" t="s">
        <v>454</v>
      </c>
      <c r="U110" s="83" t="s">
        <v>454</v>
      </c>
      <c r="V110" s="83" t="s">
        <v>454</v>
      </c>
      <c r="W110" s="102">
        <v>0</v>
      </c>
      <c r="X110" s="100">
        <v>0</v>
      </c>
      <c r="Y110" s="8"/>
      <c r="Z110" s="101">
        <v>15</v>
      </c>
      <c r="AA110" s="83" t="s">
        <v>644</v>
      </c>
      <c r="AB110" s="8" t="s">
        <v>359</v>
      </c>
      <c r="AC110" s="83" t="s">
        <v>638</v>
      </c>
      <c r="AD110" s="100">
        <v>6300</v>
      </c>
      <c r="AE110" s="83" t="s">
        <v>456</v>
      </c>
    </row>
    <row r="111" spans="1:31" ht="12.75" customHeight="1" x14ac:dyDescent="0.2">
      <c r="A111" s="32">
        <v>53</v>
      </c>
      <c r="B111" s="33" t="s">
        <v>645</v>
      </c>
      <c r="C111" s="33" t="s">
        <v>359</v>
      </c>
      <c r="D111" s="100">
        <v>31.18</v>
      </c>
      <c r="E111" s="101">
        <v>2650</v>
      </c>
      <c r="F111" s="100">
        <v>8.6611111111111114</v>
      </c>
      <c r="G111" s="100">
        <v>29560.372222222224</v>
      </c>
      <c r="H111" s="83" t="s">
        <v>456</v>
      </c>
      <c r="I111" s="83" t="s">
        <v>454</v>
      </c>
      <c r="J111" s="33" t="s">
        <v>454</v>
      </c>
      <c r="K111" s="100">
        <v>2650</v>
      </c>
      <c r="L111" s="100">
        <v>0</v>
      </c>
      <c r="M111" s="100">
        <v>0</v>
      </c>
      <c r="N111" s="101">
        <v>2650</v>
      </c>
      <c r="O111" s="83" t="s">
        <v>454</v>
      </c>
      <c r="P111" s="101">
        <v>1</v>
      </c>
      <c r="Q111" s="83" t="s">
        <v>454</v>
      </c>
      <c r="R111" s="83" t="s">
        <v>454</v>
      </c>
      <c r="S111" s="83" t="s">
        <v>454</v>
      </c>
      <c r="T111" s="83" t="s">
        <v>454</v>
      </c>
      <c r="U111" s="83" t="s">
        <v>454</v>
      </c>
      <c r="V111" s="83" t="s">
        <v>454</v>
      </c>
      <c r="W111" s="102">
        <v>0</v>
      </c>
      <c r="X111" s="100">
        <v>0</v>
      </c>
      <c r="Y111" s="8"/>
      <c r="Z111" s="101">
        <v>16</v>
      </c>
      <c r="AA111" s="83" t="s">
        <v>646</v>
      </c>
      <c r="AB111" s="8" t="s">
        <v>359</v>
      </c>
      <c r="AC111" s="83" t="s">
        <v>647</v>
      </c>
      <c r="AD111" s="100">
        <v>560</v>
      </c>
      <c r="AE111" s="83" t="s">
        <v>456</v>
      </c>
    </row>
    <row r="112" spans="1:31" ht="12.75" customHeight="1" x14ac:dyDescent="0.2">
      <c r="A112" s="32">
        <v>54</v>
      </c>
      <c r="B112" s="33" t="s">
        <v>648</v>
      </c>
      <c r="C112" s="33" t="s">
        <v>359</v>
      </c>
      <c r="D112" s="100">
        <v>9.59</v>
      </c>
      <c r="E112" s="101">
        <v>0</v>
      </c>
      <c r="F112" s="100">
        <v>2.6638888888888888</v>
      </c>
      <c r="G112" s="100">
        <v>9091.8527777777781</v>
      </c>
      <c r="H112" s="83" t="s">
        <v>456</v>
      </c>
      <c r="I112" s="83" t="s">
        <v>454</v>
      </c>
      <c r="J112" s="33">
        <v>1</v>
      </c>
      <c r="K112" s="100">
        <v>1074</v>
      </c>
      <c r="L112" s="100">
        <v>0</v>
      </c>
      <c r="M112" s="100">
        <v>0</v>
      </c>
      <c r="N112" s="101">
        <v>1074</v>
      </c>
      <c r="O112" s="83" t="s">
        <v>454</v>
      </c>
      <c r="P112" s="101">
        <v>2</v>
      </c>
      <c r="Q112" s="83" t="s">
        <v>454</v>
      </c>
      <c r="R112" s="83" t="s">
        <v>454</v>
      </c>
      <c r="S112" s="83" t="s">
        <v>454</v>
      </c>
      <c r="T112" s="83" t="s">
        <v>454</v>
      </c>
      <c r="U112" s="83" t="s">
        <v>454</v>
      </c>
      <c r="V112" s="83" t="s">
        <v>454</v>
      </c>
      <c r="W112" s="102">
        <v>0</v>
      </c>
      <c r="X112" s="100">
        <v>0</v>
      </c>
      <c r="Y112" s="8"/>
      <c r="Z112" s="101">
        <v>80</v>
      </c>
      <c r="AA112" s="83" t="s">
        <v>649</v>
      </c>
      <c r="AB112" s="8" t="s">
        <v>359</v>
      </c>
      <c r="AC112" s="83" t="s">
        <v>647</v>
      </c>
      <c r="AD112" s="100">
        <v>950</v>
      </c>
      <c r="AE112" s="83" t="s">
        <v>456</v>
      </c>
    </row>
    <row r="113" spans="1:31" ht="12.75" customHeight="1" x14ac:dyDescent="0.2">
      <c r="A113" s="32">
        <v>55</v>
      </c>
      <c r="B113" s="33" t="s">
        <v>650</v>
      </c>
      <c r="C113" s="33" t="s">
        <v>359</v>
      </c>
      <c r="D113" s="100">
        <v>30.03</v>
      </c>
      <c r="E113" s="101">
        <v>0</v>
      </c>
      <c r="F113" s="100">
        <v>8.4166666666666661</v>
      </c>
      <c r="G113" s="100">
        <v>28726.083333333332</v>
      </c>
      <c r="H113" s="83" t="s">
        <v>456</v>
      </c>
      <c r="I113" s="83" t="s">
        <v>454</v>
      </c>
      <c r="J113" s="33">
        <v>1</v>
      </c>
      <c r="K113" s="100">
        <v>3000</v>
      </c>
      <c r="L113" s="100">
        <v>0</v>
      </c>
      <c r="M113" s="100">
        <v>0</v>
      </c>
      <c r="N113" s="101">
        <v>3000</v>
      </c>
      <c r="O113" s="83" t="s">
        <v>454</v>
      </c>
      <c r="P113" s="101">
        <v>2</v>
      </c>
      <c r="Q113" s="83" t="s">
        <v>454</v>
      </c>
      <c r="R113" s="83" t="s">
        <v>454</v>
      </c>
      <c r="S113" s="83" t="s">
        <v>454</v>
      </c>
      <c r="T113" s="83" t="s">
        <v>454</v>
      </c>
      <c r="U113" s="83" t="s">
        <v>454</v>
      </c>
      <c r="V113" s="83" t="s">
        <v>454</v>
      </c>
      <c r="W113" s="102">
        <v>0</v>
      </c>
      <c r="X113" s="100">
        <v>0</v>
      </c>
      <c r="Y113" s="8"/>
      <c r="Z113" s="101">
        <v>118</v>
      </c>
      <c r="AA113" s="83" t="s">
        <v>649</v>
      </c>
      <c r="AB113" s="8" t="s">
        <v>359</v>
      </c>
      <c r="AC113" s="83" t="s">
        <v>651</v>
      </c>
      <c r="AD113" s="100">
        <v>0</v>
      </c>
      <c r="AE113" s="83" t="s">
        <v>454</v>
      </c>
    </row>
    <row r="114" spans="1:31" ht="12.75" customHeight="1" x14ac:dyDescent="0.2">
      <c r="A114" s="32">
        <v>56</v>
      </c>
      <c r="B114" s="33" t="s">
        <v>652</v>
      </c>
      <c r="C114" s="33" t="s">
        <v>458</v>
      </c>
      <c r="D114" s="100">
        <v>19.14</v>
      </c>
      <c r="E114" s="101">
        <v>890.62700000000007</v>
      </c>
      <c r="F114" s="100">
        <v>5.3166666666666664</v>
      </c>
      <c r="G114" s="100">
        <v>18145.783333333333</v>
      </c>
      <c r="H114" s="83" t="s">
        <v>456</v>
      </c>
      <c r="I114" s="83" t="s">
        <v>454</v>
      </c>
      <c r="J114" s="33" t="s">
        <v>454</v>
      </c>
      <c r="K114" s="100">
        <v>879</v>
      </c>
      <c r="L114" s="100">
        <v>3.6999999999999998E-2</v>
      </c>
      <c r="M114" s="100">
        <v>3.5000000000000003E-2</v>
      </c>
      <c r="N114" s="101">
        <v>890.62700000000007</v>
      </c>
      <c r="O114" s="83" t="s">
        <v>454</v>
      </c>
      <c r="P114" s="101">
        <v>1</v>
      </c>
      <c r="Q114" s="83" t="s">
        <v>454</v>
      </c>
      <c r="R114" s="83" t="s">
        <v>454</v>
      </c>
      <c r="S114" s="83" t="s">
        <v>454</v>
      </c>
      <c r="T114" s="83" t="s">
        <v>454</v>
      </c>
      <c r="U114" s="83" t="s">
        <v>454</v>
      </c>
      <c r="V114" s="83" t="s">
        <v>454</v>
      </c>
      <c r="W114" s="102">
        <v>0.188</v>
      </c>
      <c r="X114" s="100">
        <v>167.43787599999999</v>
      </c>
      <c r="Y114" s="8"/>
      <c r="Z114" s="101">
        <v>5</v>
      </c>
      <c r="AA114" s="83" t="s">
        <v>653</v>
      </c>
      <c r="AB114" s="8" t="s">
        <v>359</v>
      </c>
      <c r="AC114" s="83" t="s">
        <v>654</v>
      </c>
      <c r="AD114" s="100">
        <v>650</v>
      </c>
      <c r="AE114" s="83" t="s">
        <v>456</v>
      </c>
    </row>
    <row r="115" spans="1:31" ht="12.75" customHeight="1" x14ac:dyDescent="0.2">
      <c r="A115" s="32">
        <v>57</v>
      </c>
      <c r="B115" s="33" t="s">
        <v>655</v>
      </c>
      <c r="C115" s="33" t="s">
        <v>458</v>
      </c>
      <c r="D115" s="100">
        <v>38.32</v>
      </c>
      <c r="E115" s="101">
        <v>11.317</v>
      </c>
      <c r="F115" s="100">
        <v>10.64</v>
      </c>
      <c r="G115" s="100">
        <v>36361.42</v>
      </c>
      <c r="H115" s="83" t="s">
        <v>456</v>
      </c>
      <c r="I115" s="83" t="s">
        <v>454</v>
      </c>
      <c r="J115" s="33">
        <v>1</v>
      </c>
      <c r="K115" s="100">
        <v>1878</v>
      </c>
      <c r="L115" s="100">
        <v>3.6999999999999998E-2</v>
      </c>
      <c r="M115" s="100">
        <v>3.4000000000000002E-2</v>
      </c>
      <c r="N115" s="101">
        <v>1889.32</v>
      </c>
      <c r="O115" s="83" t="s">
        <v>454</v>
      </c>
      <c r="P115" s="101">
        <v>2</v>
      </c>
      <c r="Q115" s="83" t="s">
        <v>454</v>
      </c>
      <c r="R115" s="83" t="s">
        <v>454</v>
      </c>
      <c r="S115" s="83" t="s">
        <v>454</v>
      </c>
      <c r="T115" s="83" t="s">
        <v>454</v>
      </c>
      <c r="U115" s="83" t="s">
        <v>454</v>
      </c>
      <c r="V115" s="83" t="s">
        <v>454</v>
      </c>
      <c r="W115" s="102">
        <v>0</v>
      </c>
      <c r="X115" s="100">
        <v>0</v>
      </c>
      <c r="Y115" s="8"/>
      <c r="Z115" s="101">
        <v>119</v>
      </c>
      <c r="AA115" s="83" t="s">
        <v>656</v>
      </c>
      <c r="AB115" s="8" t="s">
        <v>359</v>
      </c>
      <c r="AC115" s="83" t="s">
        <v>454</v>
      </c>
      <c r="AD115" s="100">
        <v>0</v>
      </c>
      <c r="AE115" s="83" t="s">
        <v>454</v>
      </c>
    </row>
    <row r="116" spans="1:31" ht="12.75" customHeight="1" x14ac:dyDescent="0.2">
      <c r="A116" s="32">
        <v>58</v>
      </c>
      <c r="B116" s="33" t="s">
        <v>657</v>
      </c>
      <c r="C116" s="33" t="s">
        <v>458</v>
      </c>
      <c r="D116" s="100">
        <v>38.32</v>
      </c>
      <c r="E116" s="101">
        <v>11.317</v>
      </c>
      <c r="F116" s="100">
        <v>10.64</v>
      </c>
      <c r="G116" s="100">
        <v>36361.42</v>
      </c>
      <c r="H116" s="83" t="s">
        <v>456</v>
      </c>
      <c r="I116" s="83" t="s">
        <v>454</v>
      </c>
      <c r="J116" s="33">
        <v>1</v>
      </c>
      <c r="K116" s="100">
        <v>1878</v>
      </c>
      <c r="L116" s="100">
        <v>3.6999999999999998E-2</v>
      </c>
      <c r="M116" s="100">
        <v>3.4000000000000002E-2</v>
      </c>
      <c r="N116" s="101">
        <v>1889.32</v>
      </c>
      <c r="O116" s="83" t="s">
        <v>454</v>
      </c>
      <c r="P116" s="101">
        <v>2</v>
      </c>
      <c r="Q116" s="83" t="s">
        <v>454</v>
      </c>
      <c r="R116" s="83" t="s">
        <v>454</v>
      </c>
      <c r="S116" s="83" t="s">
        <v>454</v>
      </c>
      <c r="T116" s="83" t="s">
        <v>454</v>
      </c>
      <c r="U116" s="83" t="s">
        <v>454</v>
      </c>
      <c r="V116" s="83" t="s">
        <v>454</v>
      </c>
      <c r="W116" s="102">
        <v>0</v>
      </c>
      <c r="X116" s="100">
        <v>0</v>
      </c>
      <c r="Y116" s="8"/>
      <c r="Z116" s="101">
        <v>81</v>
      </c>
      <c r="AA116" s="83" t="s">
        <v>656</v>
      </c>
      <c r="AB116" s="8" t="s">
        <v>359</v>
      </c>
      <c r="AC116" s="83" t="s">
        <v>658</v>
      </c>
      <c r="AD116" s="100">
        <v>890</v>
      </c>
      <c r="AE116" s="83" t="s">
        <v>456</v>
      </c>
    </row>
    <row r="117" spans="1:31" ht="12.75" customHeight="1" x14ac:dyDescent="0.2">
      <c r="A117" s="32">
        <v>61</v>
      </c>
      <c r="B117" s="33" t="s">
        <v>659</v>
      </c>
      <c r="C117" s="33" t="s">
        <v>359</v>
      </c>
      <c r="D117" s="100">
        <v>27.6</v>
      </c>
      <c r="E117" s="101">
        <v>35.966000000000001</v>
      </c>
      <c r="F117" s="100">
        <v>7.67</v>
      </c>
      <c r="G117" s="100">
        <v>16166.25</v>
      </c>
      <c r="H117" s="83" t="s">
        <v>456</v>
      </c>
      <c r="I117" s="83" t="s">
        <v>454</v>
      </c>
      <c r="J117" s="33">
        <v>1</v>
      </c>
      <c r="K117" s="100">
        <v>3190</v>
      </c>
      <c r="L117" s="100">
        <v>0.57599999999999996</v>
      </c>
      <c r="M117" s="100">
        <v>7.6999999999999999E-2</v>
      </c>
      <c r="N117" s="101">
        <v>3225.9659999999999</v>
      </c>
      <c r="O117" s="83" t="s">
        <v>454</v>
      </c>
      <c r="P117" s="101">
        <v>1</v>
      </c>
      <c r="Q117" s="83" t="s">
        <v>454</v>
      </c>
      <c r="R117" s="83" t="s">
        <v>454</v>
      </c>
      <c r="S117" s="83" t="s">
        <v>454</v>
      </c>
      <c r="T117" s="83" t="s">
        <v>454</v>
      </c>
      <c r="U117" s="83" t="s">
        <v>454</v>
      </c>
      <c r="V117" s="83" t="s">
        <v>454</v>
      </c>
      <c r="W117" s="102">
        <v>0</v>
      </c>
      <c r="X117" s="100">
        <v>0</v>
      </c>
      <c r="Z117" s="32">
        <v>6</v>
      </c>
      <c r="AA117" s="33" t="s">
        <v>660</v>
      </c>
      <c r="AB117" t="s">
        <v>359</v>
      </c>
      <c r="AC117" s="33" t="s">
        <v>661</v>
      </c>
      <c r="AD117" s="35">
        <v>150</v>
      </c>
      <c r="AE117" s="33" t="s">
        <v>456</v>
      </c>
    </row>
    <row r="118" spans="1:31" ht="12.75" customHeight="1" x14ac:dyDescent="0.2">
      <c r="Z118" s="32">
        <v>7</v>
      </c>
      <c r="AA118" s="33" t="s">
        <v>662</v>
      </c>
      <c r="AB118" t="s">
        <v>359</v>
      </c>
      <c r="AC118" s="33" t="s">
        <v>663</v>
      </c>
      <c r="AD118" s="35">
        <v>1300</v>
      </c>
      <c r="AE118" s="33" t="s">
        <v>456</v>
      </c>
    </row>
    <row r="119" spans="1:31" ht="12.75" customHeight="1" x14ac:dyDescent="0.2">
      <c r="Z119" s="32">
        <v>2</v>
      </c>
      <c r="AA119" s="33" t="s">
        <v>664</v>
      </c>
      <c r="AB119" t="s">
        <v>359</v>
      </c>
      <c r="AC119" s="33" t="s">
        <v>432</v>
      </c>
      <c r="AD119" s="35">
        <v>21</v>
      </c>
      <c r="AE119" s="33" t="s">
        <v>456</v>
      </c>
    </row>
    <row r="120" spans="1:31" ht="12.75" customHeight="1" x14ac:dyDescent="0.2">
      <c r="Z120" s="32">
        <v>120</v>
      </c>
      <c r="AA120" s="33" t="s">
        <v>665</v>
      </c>
      <c r="AB120" t="s">
        <v>359</v>
      </c>
      <c r="AC120" s="33" t="s">
        <v>666</v>
      </c>
      <c r="AD120" s="35">
        <v>0</v>
      </c>
      <c r="AE120" s="33" t="s">
        <v>454</v>
      </c>
    </row>
    <row r="121" spans="1:31" ht="12.75" customHeight="1" x14ac:dyDescent="0.2">
      <c r="Z121" s="32">
        <v>3</v>
      </c>
      <c r="AA121" s="33" t="s">
        <v>667</v>
      </c>
      <c r="AB121" t="s">
        <v>359</v>
      </c>
      <c r="AC121" s="33" t="s">
        <v>433</v>
      </c>
      <c r="AD121" s="35">
        <v>310</v>
      </c>
      <c r="AE121" s="33" t="s">
        <v>456</v>
      </c>
    </row>
    <row r="122" spans="1:31" ht="12.75" customHeight="1" x14ac:dyDescent="0.2">
      <c r="Z122" s="32">
        <v>72</v>
      </c>
      <c r="AA122" s="33" t="s">
        <v>668</v>
      </c>
      <c r="AB122" t="s">
        <v>359</v>
      </c>
      <c r="AC122" s="33" t="s">
        <v>669</v>
      </c>
      <c r="AD122" s="35">
        <v>7480</v>
      </c>
      <c r="AE122" s="33" t="s">
        <v>670</v>
      </c>
    </row>
    <row r="123" spans="1:31" ht="12.75" customHeight="1" x14ac:dyDescent="0.2">
      <c r="Z123" s="32">
        <v>20</v>
      </c>
      <c r="AA123" s="33" t="s">
        <v>671</v>
      </c>
      <c r="AB123" t="s">
        <v>359</v>
      </c>
      <c r="AC123" s="33" t="s">
        <v>672</v>
      </c>
      <c r="AD123" s="35">
        <v>7000</v>
      </c>
      <c r="AE123" s="33" t="s">
        <v>456</v>
      </c>
    </row>
    <row r="124" spans="1:31" ht="12.75" customHeight="1" x14ac:dyDescent="0.2">
      <c r="Z124" s="32">
        <v>21</v>
      </c>
      <c r="AA124" s="33" t="s">
        <v>673</v>
      </c>
      <c r="AB124" t="s">
        <v>359</v>
      </c>
      <c r="AC124" s="33" t="s">
        <v>674</v>
      </c>
      <c r="AD124" s="35">
        <v>8700</v>
      </c>
      <c r="AE124" s="33" t="s">
        <v>456</v>
      </c>
    </row>
    <row r="125" spans="1:31" ht="12.75" customHeight="1" x14ac:dyDescent="0.2">
      <c r="Z125" s="32">
        <v>18</v>
      </c>
      <c r="AA125" s="33" t="s">
        <v>675</v>
      </c>
      <c r="AB125" t="s">
        <v>359</v>
      </c>
      <c r="AC125" s="33" t="s">
        <v>676</v>
      </c>
      <c r="AD125" s="35">
        <v>9200</v>
      </c>
      <c r="AE125" s="33" t="s">
        <v>456</v>
      </c>
    </row>
    <row r="126" spans="1:31" ht="12.75" customHeight="1" x14ac:dyDescent="0.2">
      <c r="Z126" s="32">
        <v>23</v>
      </c>
      <c r="AA126" s="33" t="s">
        <v>677</v>
      </c>
      <c r="AB126" t="s">
        <v>359</v>
      </c>
      <c r="AC126" s="33" t="s">
        <v>678</v>
      </c>
      <c r="AD126" s="35">
        <v>7400</v>
      </c>
      <c r="AE126" s="33" t="s">
        <v>456</v>
      </c>
    </row>
    <row r="127" spans="1:31" ht="12.75" customHeight="1" x14ac:dyDescent="0.2">
      <c r="Z127" s="32">
        <v>17</v>
      </c>
      <c r="AA127" s="33" t="s">
        <v>679</v>
      </c>
      <c r="AB127" t="s">
        <v>359</v>
      </c>
      <c r="AC127" s="33" t="s">
        <v>680</v>
      </c>
      <c r="AD127" s="35">
        <v>6500</v>
      </c>
      <c r="AE127" s="33" t="s">
        <v>456</v>
      </c>
    </row>
    <row r="128" spans="1:31" ht="12.75" customHeight="1" x14ac:dyDescent="0.2">
      <c r="Z128" s="32">
        <v>22</v>
      </c>
      <c r="AA128" s="33" t="s">
        <v>681</v>
      </c>
      <c r="AB128" t="s">
        <v>359</v>
      </c>
      <c r="AC128" s="33" t="s">
        <v>682</v>
      </c>
      <c r="AD128" s="35">
        <v>7500</v>
      </c>
      <c r="AE128" s="33" t="s">
        <v>456</v>
      </c>
    </row>
    <row r="129" spans="1:31" ht="12.75" customHeight="1" x14ac:dyDescent="0.2">
      <c r="Z129" s="32">
        <v>19</v>
      </c>
      <c r="AA129" s="33" t="s">
        <v>683</v>
      </c>
      <c r="AB129" t="s">
        <v>359</v>
      </c>
      <c r="AC129" s="33" t="s">
        <v>684</v>
      </c>
      <c r="AD129" s="35">
        <v>7000</v>
      </c>
      <c r="AE129" s="33" t="s">
        <v>456</v>
      </c>
    </row>
    <row r="130" spans="1:31" ht="12.75" customHeight="1" x14ac:dyDescent="0.2">
      <c r="Z130" s="32">
        <v>95</v>
      </c>
      <c r="AA130" s="33" t="s">
        <v>685</v>
      </c>
      <c r="AB130" t="s">
        <v>359</v>
      </c>
      <c r="AC130" s="33" t="s">
        <v>686</v>
      </c>
      <c r="AD130" s="35">
        <v>10450</v>
      </c>
      <c r="AE130" s="33" t="s">
        <v>477</v>
      </c>
    </row>
    <row r="131" spans="1:31" ht="12.75" customHeight="1" x14ac:dyDescent="0.2">
      <c r="Z131" s="32">
        <v>40</v>
      </c>
      <c r="AA131" s="33" t="s">
        <v>687</v>
      </c>
      <c r="AB131" t="s">
        <v>359</v>
      </c>
      <c r="AC131" s="33" t="s">
        <v>688</v>
      </c>
      <c r="AD131" s="35">
        <v>1182.48</v>
      </c>
      <c r="AE131" s="33" t="s">
        <v>477</v>
      </c>
    </row>
    <row r="132" spans="1:31" ht="12.75" customHeight="1" x14ac:dyDescent="0.2">
      <c r="Z132" s="32">
        <v>41</v>
      </c>
      <c r="AA132" s="33" t="s">
        <v>689</v>
      </c>
      <c r="AB132" t="s">
        <v>359</v>
      </c>
      <c r="AC132" s="33" t="s">
        <v>690</v>
      </c>
      <c r="AD132" s="35">
        <v>1288.26</v>
      </c>
      <c r="AE132" s="33" t="s">
        <v>477</v>
      </c>
    </row>
    <row r="133" spans="1:31" ht="12.75" customHeight="1" x14ac:dyDescent="0.2">
      <c r="A133" t="s">
        <v>180</v>
      </c>
      <c r="B133" t="s">
        <v>182</v>
      </c>
      <c r="C133" t="s">
        <v>691</v>
      </c>
      <c r="D133" t="s">
        <v>692</v>
      </c>
      <c r="E133" t="s">
        <v>693</v>
      </c>
      <c r="F133" t="s">
        <v>179</v>
      </c>
      <c r="G133" t="s">
        <v>694</v>
      </c>
      <c r="H133" t="s">
        <v>695</v>
      </c>
      <c r="I133" t="s">
        <v>696</v>
      </c>
      <c r="J133" s="60" t="s">
        <v>697</v>
      </c>
      <c r="K133" t="s">
        <v>698</v>
      </c>
      <c r="L133" t="s">
        <v>319</v>
      </c>
      <c r="Z133" s="32">
        <v>42</v>
      </c>
      <c r="AA133" s="33" t="s">
        <v>699</v>
      </c>
      <c r="AB133" t="s">
        <v>359</v>
      </c>
      <c r="AC133" s="33" t="s">
        <v>700</v>
      </c>
      <c r="AD133" s="35">
        <v>934.98</v>
      </c>
      <c r="AE133" s="33" t="s">
        <v>701</v>
      </c>
    </row>
    <row r="134" spans="1:31" ht="12.75" customHeight="1" x14ac:dyDescent="0.2">
      <c r="A134" t="e">
        <f ca="1">DQ$2</f>
        <v>#REF!</v>
      </c>
      <c r="B134" t="str">
        <f>IF(B61=TRUE,"8","2")</f>
        <v>2</v>
      </c>
      <c r="C134" t="str">
        <f>IF(B61=TRUE,"81",IF(B57=TRUE,"21",IF(B58=TRUE,"221",IF(B59=TRUE,"23","222"))))</f>
        <v>222</v>
      </c>
      <c r="D134" t="str">
        <f>IF(B61=TRUE,"Recommissioning",IF(B57=TRUE,"Études",IF(B58=TRUE,"Études IP",IF(B59=TRUE,"Études approvisionnement","Études IP préliminaires"))))</f>
        <v>Études IP préliminaires</v>
      </c>
      <c r="E134" t="b">
        <f>DV2</f>
        <v>0</v>
      </c>
      <c r="F134" t="e">
        <f ca="1">IF(DP2="Agricole","Agricole",IF(DP2="Transport","Transport","Affaires"))</f>
        <v>#REF!</v>
      </c>
      <c r="G134" s="82" t="e">
        <f>#REF!</f>
        <v>#REF!</v>
      </c>
      <c r="H134" s="82" t="e">
        <f>#REF!</f>
        <v>#REF!</v>
      </c>
      <c r="I134" s="82" t="e">
        <f>#REF!</f>
        <v>#REF!</v>
      </c>
      <c r="J134" s="82" t="e">
        <f>#REF!</f>
        <v>#REF!</v>
      </c>
      <c r="K134">
        <v>50</v>
      </c>
      <c r="L134" t="str">
        <f>IF(B61=TRUE,"50.20",IF(B57=TRUE,"50.8",IF(B58=TRUE,"50.9",IF(B59=TRUE,"50.10","50.11"))))</f>
        <v>50.11</v>
      </c>
      <c r="Z134" s="32">
        <v>43</v>
      </c>
      <c r="AA134" s="33" t="s">
        <v>702</v>
      </c>
      <c r="AB134" t="s">
        <v>359</v>
      </c>
      <c r="AC134" s="33" t="s">
        <v>703</v>
      </c>
      <c r="AD134" s="35">
        <v>2826.68</v>
      </c>
      <c r="AE134" s="33" t="s">
        <v>701</v>
      </c>
    </row>
    <row r="135" spans="1:31" ht="12.75" customHeight="1" x14ac:dyDescent="0.2">
      <c r="Z135" s="32">
        <v>44</v>
      </c>
      <c r="AA135" s="33" t="s">
        <v>704</v>
      </c>
      <c r="AB135" t="s">
        <v>359</v>
      </c>
      <c r="AC135" s="33" t="s">
        <v>705</v>
      </c>
      <c r="AD135" s="35">
        <v>2446.88</v>
      </c>
      <c r="AE135" s="33" t="s">
        <v>701</v>
      </c>
    </row>
    <row r="136" spans="1:31" ht="12.75" customHeight="1" x14ac:dyDescent="0.2">
      <c r="Z136" s="32">
        <v>45</v>
      </c>
      <c r="AA136" s="33" t="s">
        <v>706</v>
      </c>
      <c r="AB136" t="s">
        <v>359</v>
      </c>
      <c r="AC136" s="33" t="s">
        <v>707</v>
      </c>
      <c r="AD136" s="35">
        <v>2834.6990000000001</v>
      </c>
      <c r="AE136" s="33" t="s">
        <v>456</v>
      </c>
    </row>
    <row r="137" spans="1:31" ht="12.75" customHeight="1" x14ac:dyDescent="0.2">
      <c r="Z137" s="32">
        <v>46</v>
      </c>
      <c r="AA137" s="33" t="s">
        <v>708</v>
      </c>
      <c r="AB137" t="s">
        <v>359</v>
      </c>
      <c r="AC137" s="33" t="s">
        <v>709</v>
      </c>
      <c r="AD137" s="35">
        <v>3820.799</v>
      </c>
      <c r="AE137" s="33" t="s">
        <v>456</v>
      </c>
    </row>
    <row r="138" spans="1:31" ht="12.75" customHeight="1" x14ac:dyDescent="0.2">
      <c r="Z138" s="32">
        <v>48</v>
      </c>
      <c r="AA138" s="33" t="s">
        <v>710</v>
      </c>
      <c r="AB138" t="s">
        <v>359</v>
      </c>
      <c r="AC138" s="33" t="s">
        <v>711</v>
      </c>
      <c r="AD138" s="35">
        <v>4648.8500000000004</v>
      </c>
      <c r="AE138" s="33" t="s">
        <v>701</v>
      </c>
    </row>
    <row r="139" spans="1:31" ht="12.75" customHeight="1" x14ac:dyDescent="0.2">
      <c r="Z139" s="32">
        <v>49</v>
      </c>
      <c r="AA139" s="33" t="s">
        <v>712</v>
      </c>
      <c r="AB139" t="s">
        <v>359</v>
      </c>
      <c r="AC139" s="33" t="s">
        <v>713</v>
      </c>
      <c r="AD139" s="35">
        <v>2013.16</v>
      </c>
      <c r="AE139" s="33" t="s">
        <v>701</v>
      </c>
    </row>
    <row r="140" spans="1:31" ht="12.75" customHeight="1" x14ac:dyDescent="0.2">
      <c r="Z140" s="32">
        <v>51</v>
      </c>
      <c r="AA140" s="33" t="s">
        <v>714</v>
      </c>
      <c r="AB140" t="s">
        <v>359</v>
      </c>
      <c r="AC140" s="33" t="s">
        <v>715</v>
      </c>
      <c r="AD140" s="35">
        <v>2285</v>
      </c>
      <c r="AE140" s="33" t="s">
        <v>456</v>
      </c>
    </row>
    <row r="141" spans="1:31" ht="12.75" customHeight="1" x14ac:dyDescent="0.2">
      <c r="Z141" s="32">
        <v>52</v>
      </c>
      <c r="AA141" s="33" t="s">
        <v>716</v>
      </c>
      <c r="AB141" t="s">
        <v>359</v>
      </c>
      <c r="AC141" s="33" t="s">
        <v>717</v>
      </c>
      <c r="AD141" s="35">
        <v>1525.5</v>
      </c>
      <c r="AE141" s="33" t="s">
        <v>456</v>
      </c>
    </row>
    <row r="142" spans="1:31" ht="12.75" customHeight="1" x14ac:dyDescent="0.2">
      <c r="Z142" s="32">
        <v>96</v>
      </c>
      <c r="AA142" s="33" t="s">
        <v>718</v>
      </c>
      <c r="AB142" t="s">
        <v>359</v>
      </c>
      <c r="AC142" s="33" t="s">
        <v>719</v>
      </c>
      <c r="AD142" s="35">
        <v>1427.5</v>
      </c>
      <c r="AE142" s="33" t="s">
        <v>456</v>
      </c>
    </row>
    <row r="143" spans="1:31" ht="12.75" customHeight="1" x14ac:dyDescent="0.2">
      <c r="Z143" s="32">
        <v>97</v>
      </c>
      <c r="AA143" s="33" t="s">
        <v>720</v>
      </c>
      <c r="AB143" t="s">
        <v>359</v>
      </c>
      <c r="AC143" s="33" t="s">
        <v>721</v>
      </c>
      <c r="AD143" s="35">
        <v>1362.5</v>
      </c>
      <c r="AE143" s="33" t="s">
        <v>456</v>
      </c>
    </row>
    <row r="144" spans="1:31" ht="12.75" customHeight="1" x14ac:dyDescent="0.2">
      <c r="Z144" s="32">
        <v>53</v>
      </c>
      <c r="AA144" s="33" t="s">
        <v>722</v>
      </c>
      <c r="AB144" t="s">
        <v>359</v>
      </c>
      <c r="AC144" s="33" t="s">
        <v>723</v>
      </c>
      <c r="AD144" s="35">
        <v>2794.7</v>
      </c>
      <c r="AE144" s="33" t="s">
        <v>701</v>
      </c>
    </row>
    <row r="145" spans="1:32" ht="12.75" customHeight="1" x14ac:dyDescent="0.2">
      <c r="Z145" s="32">
        <v>54</v>
      </c>
      <c r="AA145" s="33" t="s">
        <v>724</v>
      </c>
      <c r="AB145" t="s">
        <v>359</v>
      </c>
      <c r="AC145" s="33" t="s">
        <v>725</v>
      </c>
      <c r="AD145" s="35">
        <v>1584.75</v>
      </c>
      <c r="AE145" s="33" t="s">
        <v>477</v>
      </c>
    </row>
    <row r="146" spans="1:32" ht="12.75" customHeight="1" x14ac:dyDescent="0.2">
      <c r="Z146" s="32">
        <v>98</v>
      </c>
      <c r="AA146" s="33" t="s">
        <v>726</v>
      </c>
      <c r="AB146" t="s">
        <v>359</v>
      </c>
      <c r="AC146" s="33" t="s">
        <v>727</v>
      </c>
      <c r="AD146" s="35">
        <v>1559.75</v>
      </c>
      <c r="AE146" s="33" t="s">
        <v>477</v>
      </c>
    </row>
    <row r="147" spans="1:32" ht="12.75" customHeight="1" x14ac:dyDescent="0.2">
      <c r="Z147" s="32">
        <v>55</v>
      </c>
      <c r="AA147" s="33" t="s">
        <v>728</v>
      </c>
      <c r="AB147" t="s">
        <v>359</v>
      </c>
      <c r="AC147" s="33" t="s">
        <v>729</v>
      </c>
      <c r="AD147" s="35">
        <v>1725</v>
      </c>
      <c r="AE147" s="33" t="s">
        <v>456</v>
      </c>
    </row>
    <row r="148" spans="1:32" ht="12.75" customHeight="1" x14ac:dyDescent="0.2">
      <c r="Z148" s="32">
        <v>56</v>
      </c>
      <c r="AA148" s="33" t="s">
        <v>730</v>
      </c>
      <c r="AB148" t="s">
        <v>359</v>
      </c>
      <c r="AC148" s="33" t="s">
        <v>731</v>
      </c>
      <c r="AD148" s="35">
        <v>1617.5</v>
      </c>
      <c r="AE148" s="33" t="s">
        <v>456</v>
      </c>
    </row>
    <row r="149" spans="1:32" ht="12.75" customHeight="1" x14ac:dyDescent="0.2">
      <c r="A149" t="s">
        <v>180</v>
      </c>
      <c r="B149" t="s">
        <v>732</v>
      </c>
      <c r="C149" t="s">
        <v>733</v>
      </c>
      <c r="D149" t="s">
        <v>734</v>
      </c>
      <c r="E149" t="s">
        <v>735</v>
      </c>
      <c r="F149" t="s">
        <v>736</v>
      </c>
      <c r="G149" t="s">
        <v>737</v>
      </c>
      <c r="Z149" s="32">
        <v>57</v>
      </c>
      <c r="AA149" s="33" t="s">
        <v>738</v>
      </c>
      <c r="AB149" t="s">
        <v>359</v>
      </c>
      <c r="AC149" s="33" t="s">
        <v>739</v>
      </c>
      <c r="AD149" s="35">
        <v>1623.52</v>
      </c>
      <c r="AE149" s="33" t="s">
        <v>740</v>
      </c>
    </row>
    <row r="150" spans="1:32" ht="12.75" customHeight="1" x14ac:dyDescent="0.2">
      <c r="A150" t="e">
        <f t="shared" ref="A150:A155" ca="1" si="1">DQ$2</f>
        <v>#REF!</v>
      </c>
      <c r="B150" t="e">
        <f>#REF!</f>
        <v>#REF!</v>
      </c>
      <c r="C150" t="e">
        <f>#REF!</f>
        <v>#REF!</v>
      </c>
      <c r="D150" t="e">
        <f>IF(#REF!="","",#REF!)</f>
        <v>#REF!</v>
      </c>
      <c r="E150" t="e">
        <f>#REF!</f>
        <v>#REF!</v>
      </c>
      <c r="F150" s="82" t="e">
        <f>#REF!</f>
        <v>#REF!</v>
      </c>
      <c r="G150" s="68" t="e">
        <f>#REF!</f>
        <v>#REF!</v>
      </c>
      <c r="Z150" s="32">
        <v>58</v>
      </c>
      <c r="AA150" s="33" t="s">
        <v>741</v>
      </c>
      <c r="AB150" t="s">
        <v>359</v>
      </c>
      <c r="AC150" s="33" t="s">
        <v>742</v>
      </c>
      <c r="AD150" s="35">
        <v>1758.35</v>
      </c>
      <c r="AE150" s="33" t="s">
        <v>740</v>
      </c>
    </row>
    <row r="151" spans="1:32" ht="12.75" customHeight="1" x14ac:dyDescent="0.2">
      <c r="A151" t="e">
        <f t="shared" ca="1" si="1"/>
        <v>#REF!</v>
      </c>
      <c r="B151" t="e">
        <f>#REF!</f>
        <v>#REF!</v>
      </c>
      <c r="C151" t="e">
        <f>#REF!</f>
        <v>#REF!</v>
      </c>
      <c r="D151" t="e">
        <f>IF(#REF!="","",#REF!)</f>
        <v>#REF!</v>
      </c>
      <c r="E151" t="e">
        <f>#REF!</f>
        <v>#REF!</v>
      </c>
      <c r="F151" s="82" t="e">
        <f>#REF!</f>
        <v>#REF!</v>
      </c>
      <c r="G151" s="68" t="e">
        <f>#REF!</f>
        <v>#REF!</v>
      </c>
      <c r="Z151" s="32">
        <v>59</v>
      </c>
      <c r="AA151" s="33" t="s">
        <v>743</v>
      </c>
      <c r="AB151" t="s">
        <v>359</v>
      </c>
      <c r="AC151" s="33" t="s">
        <v>744</v>
      </c>
      <c r="AD151" s="35">
        <v>2194.5</v>
      </c>
      <c r="AE151" s="33" t="s">
        <v>701</v>
      </c>
    </row>
    <row r="152" spans="1:32" ht="12.75" customHeight="1" x14ac:dyDescent="0.2">
      <c r="A152" t="e">
        <f t="shared" ca="1" si="1"/>
        <v>#REF!</v>
      </c>
      <c r="B152" t="e">
        <f>#REF!</f>
        <v>#REF!</v>
      </c>
      <c r="C152" t="e">
        <f>#REF!</f>
        <v>#REF!</v>
      </c>
      <c r="D152" t="e">
        <f>IF(#REF!="","",#REF!)</f>
        <v>#REF!</v>
      </c>
      <c r="E152" t="e">
        <f>#REF!</f>
        <v>#REF!</v>
      </c>
      <c r="F152" s="82" t="e">
        <f>#REF!</f>
        <v>#REF!</v>
      </c>
      <c r="G152" s="68" t="e">
        <f>#REF!</f>
        <v>#REF!</v>
      </c>
      <c r="Z152" s="32">
        <v>60</v>
      </c>
      <c r="AA152" s="33" t="s">
        <v>745</v>
      </c>
      <c r="AB152" t="s">
        <v>359</v>
      </c>
      <c r="AC152" s="33" t="s">
        <v>746</v>
      </c>
      <c r="AD152" s="35">
        <v>1826.92</v>
      </c>
      <c r="AE152" s="33" t="s">
        <v>747</v>
      </c>
    </row>
    <row r="153" spans="1:32" ht="12.75" customHeight="1" x14ac:dyDescent="0.2">
      <c r="A153" t="e">
        <f t="shared" ca="1" si="1"/>
        <v>#REF!</v>
      </c>
      <c r="B153" t="e">
        <f>#REF!</f>
        <v>#REF!</v>
      </c>
      <c r="C153" t="e">
        <f>#REF!</f>
        <v>#REF!</v>
      </c>
      <c r="D153" t="e">
        <f>IF(#REF!="","",#REF!)</f>
        <v>#REF!</v>
      </c>
      <c r="E153" t="e">
        <f>#REF!</f>
        <v>#REF!</v>
      </c>
      <c r="F153" s="82" t="e">
        <f>#REF!</f>
        <v>#REF!</v>
      </c>
      <c r="G153" s="68" t="e">
        <f>#REF!</f>
        <v>#REF!</v>
      </c>
      <c r="Z153" s="32">
        <v>61</v>
      </c>
      <c r="AA153" s="33" t="s">
        <v>748</v>
      </c>
      <c r="AB153" t="s">
        <v>359</v>
      </c>
      <c r="AC153" s="33" t="s">
        <v>749</v>
      </c>
      <c r="AD153" s="35">
        <v>1548.37</v>
      </c>
      <c r="AE153" s="33" t="s">
        <v>701</v>
      </c>
    </row>
    <row r="154" spans="1:32" ht="12.75" customHeight="1" x14ac:dyDescent="0.2">
      <c r="A154" t="e">
        <f t="shared" ca="1" si="1"/>
        <v>#REF!</v>
      </c>
      <c r="B154" t="e">
        <f>#REF!</f>
        <v>#REF!</v>
      </c>
      <c r="C154" t="e">
        <f>#REF!</f>
        <v>#REF!</v>
      </c>
      <c r="D154" t="e">
        <f>IF(#REF!="","",#REF!)</f>
        <v>#REF!</v>
      </c>
      <c r="E154" t="e">
        <f>#REF!</f>
        <v>#REF!</v>
      </c>
      <c r="F154" s="82" t="e">
        <f>#REF!</f>
        <v>#REF!</v>
      </c>
      <c r="G154" s="68" t="e">
        <f>#REF!</f>
        <v>#REF!</v>
      </c>
      <c r="Z154" s="32">
        <v>62</v>
      </c>
      <c r="AA154" s="33" t="s">
        <v>750</v>
      </c>
      <c r="AB154" t="s">
        <v>359</v>
      </c>
      <c r="AC154" s="33" t="s">
        <v>751</v>
      </c>
      <c r="AD154" s="35">
        <v>1388.42</v>
      </c>
      <c r="AE154" s="33" t="s">
        <v>701</v>
      </c>
    </row>
    <row r="155" spans="1:32" ht="12.75" customHeight="1" x14ac:dyDescent="0.2">
      <c r="A155" t="e">
        <f t="shared" ca="1" si="1"/>
        <v>#REF!</v>
      </c>
      <c r="B155" t="e">
        <f>#REF!</f>
        <v>#REF!</v>
      </c>
      <c r="C155" t="e">
        <f>#REF!</f>
        <v>#REF!</v>
      </c>
      <c r="D155" t="e">
        <f>IF(#REF!="","",#REF!)</f>
        <v>#REF!</v>
      </c>
      <c r="E155" t="e">
        <f>#REF!</f>
        <v>#REF!</v>
      </c>
      <c r="F155" s="82" t="e">
        <f>#REF!</f>
        <v>#REF!</v>
      </c>
      <c r="G155" s="68" t="e">
        <f>#REF!</f>
        <v>#REF!</v>
      </c>
      <c r="Z155" s="32">
        <v>99</v>
      </c>
      <c r="AA155" s="33" t="s">
        <v>752</v>
      </c>
      <c r="AB155" t="s">
        <v>359</v>
      </c>
      <c r="AC155" s="33" t="s">
        <v>753</v>
      </c>
      <c r="AD155" s="35">
        <v>1509.4</v>
      </c>
      <c r="AE155" s="33" t="s">
        <v>701</v>
      </c>
    </row>
    <row r="156" spans="1:32" ht="12.75" customHeight="1" x14ac:dyDescent="0.2">
      <c r="B156" t="e">
        <f>#REF!</f>
        <v>#REF!</v>
      </c>
      <c r="C156" t="e">
        <f>#REF!</f>
        <v>#REF!</v>
      </c>
      <c r="D156" t="e">
        <f>IF(#REF!="","",#REF!)</f>
        <v>#REF!</v>
      </c>
      <c r="E156" t="e">
        <f>#REF!</f>
        <v>#REF!</v>
      </c>
      <c r="F156" s="82" t="e">
        <f>#REF!</f>
        <v>#REF!</v>
      </c>
      <c r="G156" s="68" t="e">
        <f>#REF!</f>
        <v>#REF!</v>
      </c>
      <c r="Z156" s="32">
        <v>100</v>
      </c>
      <c r="AA156" s="33" t="s">
        <v>754</v>
      </c>
      <c r="AB156" t="s">
        <v>359</v>
      </c>
      <c r="AC156" s="33" t="s">
        <v>755</v>
      </c>
      <c r="AD156" s="35">
        <v>557.5</v>
      </c>
      <c r="AE156" s="33" t="s">
        <v>701</v>
      </c>
      <c r="AF156" s="33" t="s">
        <v>454</v>
      </c>
    </row>
    <row r="157" spans="1:32" ht="12.75" customHeight="1" x14ac:dyDescent="0.2">
      <c r="Z157" s="32">
        <v>101</v>
      </c>
      <c r="AA157" s="33" t="s">
        <v>756</v>
      </c>
      <c r="AB157" t="s">
        <v>359</v>
      </c>
      <c r="AC157" s="33" t="s">
        <v>757</v>
      </c>
      <c r="AD157" s="35">
        <v>1034.01</v>
      </c>
      <c r="AE157" s="33" t="s">
        <v>701</v>
      </c>
    </row>
    <row r="158" spans="1:32" ht="12.75" customHeight="1" x14ac:dyDescent="0.2">
      <c r="A158" t="s">
        <v>180</v>
      </c>
      <c r="B158" t="s">
        <v>758</v>
      </c>
      <c r="C158" s="25" t="s">
        <v>259</v>
      </c>
      <c r="D158" s="25" t="s">
        <v>759</v>
      </c>
      <c r="E158" s="25" t="s">
        <v>191</v>
      </c>
      <c r="F158" s="25" t="s">
        <v>760</v>
      </c>
      <c r="G158" s="25" t="s">
        <v>696</v>
      </c>
      <c r="H158" s="25" t="s">
        <v>590</v>
      </c>
      <c r="I158" s="25" t="s">
        <v>761</v>
      </c>
      <c r="J158" s="25" t="s">
        <v>762</v>
      </c>
      <c r="K158" s="25" t="s">
        <v>763</v>
      </c>
      <c r="Z158" s="32">
        <v>115</v>
      </c>
      <c r="AA158" s="33" t="s">
        <v>764</v>
      </c>
      <c r="AB158" t="s">
        <v>359</v>
      </c>
      <c r="AC158" s="33" t="s">
        <v>765</v>
      </c>
      <c r="AD158" s="35">
        <v>2014.78</v>
      </c>
      <c r="AE158" s="33" t="s">
        <v>456</v>
      </c>
    </row>
    <row r="159" spans="1:32" ht="12.75" customHeight="1" x14ac:dyDescent="0.2">
      <c r="A159" t="e">
        <f t="shared" ref="A159:A164" ca="1" si="2">DQ$2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s="82" t="e">
        <f>#REF!</f>
        <v>#REF!</v>
      </c>
      <c r="H159" s="64" t="e">
        <f>#REF!</f>
        <v>#REF!</v>
      </c>
      <c r="I159" s="64" t="e">
        <f>#REF!</f>
        <v>#REF!</v>
      </c>
      <c r="J159" s="82" t="e">
        <f>#REF!</f>
        <v>#REF!</v>
      </c>
      <c r="K159" t="e">
        <f>#REF!</f>
        <v>#REF!</v>
      </c>
      <c r="Z159" s="32">
        <v>102</v>
      </c>
      <c r="AA159" s="33" t="s">
        <v>766</v>
      </c>
      <c r="AB159" t="s">
        <v>359</v>
      </c>
      <c r="AC159" s="33" t="s">
        <v>767</v>
      </c>
      <c r="AD159" s="35">
        <v>1764.26</v>
      </c>
      <c r="AE159" s="33" t="s">
        <v>701</v>
      </c>
    </row>
    <row r="160" spans="1:32" ht="12.75" customHeight="1" x14ac:dyDescent="0.2">
      <c r="A160" t="e">
        <f t="shared" ca="1" si="2"/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s="82" t="e">
        <f>#REF!</f>
        <v>#REF!</v>
      </c>
      <c r="H160" s="64" t="e">
        <f>#REF!</f>
        <v>#REF!</v>
      </c>
      <c r="I160" s="64" t="e">
        <f>#REF!</f>
        <v>#REF!</v>
      </c>
      <c r="J160" s="82" t="e">
        <f>#REF!</f>
        <v>#REF!</v>
      </c>
      <c r="K160" t="e">
        <f>#REF!</f>
        <v>#REF!</v>
      </c>
      <c r="Z160" s="32">
        <v>103</v>
      </c>
      <c r="AA160" s="33" t="s">
        <v>768</v>
      </c>
      <c r="AB160" t="s">
        <v>359</v>
      </c>
      <c r="AC160" s="33" t="s">
        <v>769</v>
      </c>
      <c r="AD160" s="35">
        <v>2442.04</v>
      </c>
      <c r="AE160" s="33" t="s">
        <v>456</v>
      </c>
    </row>
    <row r="161" spans="1:31" ht="12.75" customHeight="1" x14ac:dyDescent="0.2">
      <c r="A161" t="e">
        <f t="shared" ca="1" si="2"/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s="82" t="e">
        <f>#REF!</f>
        <v>#REF!</v>
      </c>
      <c r="H161" s="64" t="e">
        <f>#REF!</f>
        <v>#REF!</v>
      </c>
      <c r="I161" s="64" t="e">
        <f>#REF!</f>
        <v>#REF!</v>
      </c>
      <c r="J161" s="82" t="e">
        <f>#REF!</f>
        <v>#REF!</v>
      </c>
      <c r="K161" t="e">
        <f>#REF!</f>
        <v>#REF!</v>
      </c>
      <c r="Z161" s="32">
        <v>104</v>
      </c>
      <c r="AA161" s="33" t="s">
        <v>770</v>
      </c>
      <c r="AB161" t="s">
        <v>359</v>
      </c>
      <c r="AC161" s="33" t="s">
        <v>771</v>
      </c>
      <c r="AD161" s="35">
        <v>1421.2</v>
      </c>
      <c r="AE161" s="33" t="s">
        <v>701</v>
      </c>
    </row>
    <row r="162" spans="1:31" ht="12.75" customHeight="1" x14ac:dyDescent="0.2">
      <c r="A162" t="e">
        <f t="shared" ca="1" si="2"/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s="82" t="e">
        <f>#REF!</f>
        <v>#REF!</v>
      </c>
      <c r="H162" s="64" t="e">
        <f>#REF!</f>
        <v>#REF!</v>
      </c>
      <c r="I162" s="64" t="e">
        <f>#REF!</f>
        <v>#REF!</v>
      </c>
      <c r="J162" s="82" t="e">
        <f>#REF!</f>
        <v>#REF!</v>
      </c>
      <c r="K162" t="e">
        <f>#REF!</f>
        <v>#REF!</v>
      </c>
      <c r="Z162" s="32">
        <v>105</v>
      </c>
      <c r="AA162" s="33" t="s">
        <v>772</v>
      </c>
      <c r="AB162" t="s">
        <v>359</v>
      </c>
      <c r="AC162" s="33" t="s">
        <v>773</v>
      </c>
      <c r="AD162" s="35">
        <v>2170</v>
      </c>
      <c r="AE162" s="33" t="s">
        <v>456</v>
      </c>
    </row>
    <row r="163" spans="1:31" ht="12.75" customHeight="1" x14ac:dyDescent="0.2">
      <c r="A163" t="e">
        <f t="shared" ca="1" si="2"/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s="82" t="e">
        <f>#REF!</f>
        <v>#REF!</v>
      </c>
      <c r="H163" s="64" t="e">
        <f>#REF!</f>
        <v>#REF!</v>
      </c>
      <c r="I163" s="64" t="e">
        <f>#REF!</f>
        <v>#REF!</v>
      </c>
      <c r="J163" s="82" t="e">
        <f>#REF!</f>
        <v>#REF!</v>
      </c>
      <c r="K163" t="e">
        <f>#REF!</f>
        <v>#REF!</v>
      </c>
      <c r="Z163" s="32">
        <v>106</v>
      </c>
      <c r="AA163" s="33" t="s">
        <v>774</v>
      </c>
      <c r="AB163" t="s">
        <v>359</v>
      </c>
      <c r="AC163" s="33" t="s">
        <v>775</v>
      </c>
      <c r="AD163" s="35">
        <v>2575</v>
      </c>
      <c r="AE163" s="33" t="s">
        <v>456</v>
      </c>
    </row>
    <row r="164" spans="1:31" ht="12.75" customHeight="1" x14ac:dyDescent="0.2">
      <c r="A164" t="e">
        <f t="shared" ca="1" si="2"/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s="82" t="e">
        <f>#REF!</f>
        <v>#REF!</v>
      </c>
      <c r="H164" s="64" t="e">
        <f>#REF!</f>
        <v>#REF!</v>
      </c>
      <c r="I164" s="64" t="e">
        <f>#REF!</f>
        <v>#REF!</v>
      </c>
      <c r="J164" s="82" t="e">
        <f>#REF!</f>
        <v>#REF!</v>
      </c>
      <c r="K164" t="e">
        <f>#REF!</f>
        <v>#REF!</v>
      </c>
      <c r="Z164" s="32">
        <v>89</v>
      </c>
      <c r="AA164" s="33" t="s">
        <v>776</v>
      </c>
      <c r="AB164" t="s">
        <v>359</v>
      </c>
      <c r="AC164" s="33" t="s">
        <v>777</v>
      </c>
      <c r="AD164" s="35">
        <v>2292.27</v>
      </c>
      <c r="AE164" s="33" t="s">
        <v>456</v>
      </c>
    </row>
    <row r="165" spans="1:31" ht="12.75" customHeight="1" x14ac:dyDescent="0.2">
      <c r="Z165" s="32">
        <v>90</v>
      </c>
      <c r="AA165" s="33" t="s">
        <v>778</v>
      </c>
      <c r="AB165" t="s">
        <v>359</v>
      </c>
      <c r="AC165" s="33" t="s">
        <v>779</v>
      </c>
      <c r="AD165" s="35">
        <v>2138.91</v>
      </c>
      <c r="AE165" s="33" t="s">
        <v>456</v>
      </c>
    </row>
    <row r="166" spans="1:31" ht="12.75" customHeight="1" x14ac:dyDescent="0.2">
      <c r="A166" t="s">
        <v>180</v>
      </c>
      <c r="B166" t="s">
        <v>780</v>
      </c>
      <c r="C166" t="s">
        <v>781</v>
      </c>
      <c r="D166" t="s">
        <v>782</v>
      </c>
      <c r="E166" t="s">
        <v>783</v>
      </c>
      <c r="F166" t="s">
        <v>784</v>
      </c>
      <c r="G166" t="s">
        <v>785</v>
      </c>
      <c r="H166" t="s">
        <v>786</v>
      </c>
      <c r="I166" t="s">
        <v>787</v>
      </c>
      <c r="J166" t="s">
        <v>788</v>
      </c>
      <c r="K166" t="s">
        <v>789</v>
      </c>
      <c r="L166" t="s">
        <v>790</v>
      </c>
      <c r="M166" t="s">
        <v>791</v>
      </c>
      <c r="N166" t="s">
        <v>792</v>
      </c>
      <c r="O166" t="s">
        <v>793</v>
      </c>
      <c r="P166" t="s">
        <v>794</v>
      </c>
      <c r="Q166" t="s">
        <v>795</v>
      </c>
      <c r="R166" t="s">
        <v>796</v>
      </c>
      <c r="S166" t="s">
        <v>797</v>
      </c>
      <c r="T166" t="s">
        <v>798</v>
      </c>
      <c r="U166" t="s">
        <v>799</v>
      </c>
      <c r="V166" t="s">
        <v>800</v>
      </c>
      <c r="W166" t="s">
        <v>801</v>
      </c>
      <c r="X166" t="s">
        <v>802</v>
      </c>
      <c r="Z166" s="32">
        <v>91</v>
      </c>
      <c r="AA166" s="33" t="s">
        <v>803</v>
      </c>
      <c r="AB166" t="s">
        <v>359</v>
      </c>
      <c r="AC166" s="33" t="s">
        <v>804</v>
      </c>
      <c r="AD166" s="35">
        <v>2543.92</v>
      </c>
      <c r="AE166" s="33" t="s">
        <v>456</v>
      </c>
    </row>
    <row r="167" spans="1:31" ht="12.75" customHeight="1" x14ac:dyDescent="0.2">
      <c r="A167" t="e">
        <f t="shared" ref="A167:A172" ca="1" si="3">DQ$2</f>
        <v>#REF!</v>
      </c>
      <c r="B167" t="e">
        <f>#REF!</f>
        <v>#REF!</v>
      </c>
      <c r="C167" t="e">
        <f>IF(#REF!="","",#REF!)</f>
        <v>#REF!</v>
      </c>
      <c r="D167" t="e">
        <f>#REF!</f>
        <v>#REF!</v>
      </c>
      <c r="E167" t="e">
        <f t="shared" ref="E167:E172" ca="1" si="4">IF(F167="",0,INDEX(OFFSET(PRP,,-1,,),MATCH(F167,PRP,0)))</f>
        <v>#REF!</v>
      </c>
      <c r="F167" t="e">
        <f>IF(#REF!="","",#REF!)</f>
        <v>#REF!</v>
      </c>
      <c r="G167" t="e">
        <f ca="1">IF(F167="","",INDEX(OFFSET(PRP,,2,,),MATCH(F167,PRP,0)))</f>
        <v>#REF!</v>
      </c>
      <c r="H167" t="e">
        <f>#REF!</f>
        <v>#REF!</v>
      </c>
      <c r="I167" s="24" t="e">
        <f>#REF!</f>
        <v>#REF!</v>
      </c>
      <c r="J167" t="e">
        <f t="shared" ref="J167:J172" ca="1" si="5">INDEX(OFFSET(Unite,,-1,,),MATCH(K167,Unite,0))</f>
        <v>#REF!</v>
      </c>
      <c r="K167" t="e">
        <f>#REF!</f>
        <v>#REF!</v>
      </c>
      <c r="L167" s="69" t="e">
        <f>#REF!</f>
        <v>#REF!</v>
      </c>
      <c r="M167" s="34" t="e">
        <f>#REF!*#REF!</f>
        <v>#REF!</v>
      </c>
      <c r="N167" t="e">
        <f>#REF!</f>
        <v>#REF!</v>
      </c>
      <c r="O167" t="e">
        <f>#REF!</f>
        <v>#REF!</v>
      </c>
      <c r="P167" t="e">
        <f t="shared" ref="P167:P172" ca="1" si="6">IF(Q167="",0,INDEX(OFFSET(PRP,,-1,,),MATCH(Q167,PRP,0)))</f>
        <v>#REF!</v>
      </c>
      <c r="Q167" t="e">
        <f>IF(#REF!="","",#REF!)</f>
        <v>#REF!</v>
      </c>
      <c r="R167" t="e">
        <f t="shared" ref="R167:R172" ca="1" si="7">IF(Q167="","",INDEX(OFFSET(PRP,,2,,),MATCH(Q167,PRP,0)))</f>
        <v>#REF!</v>
      </c>
      <c r="S167" t="e">
        <f>#REF!</f>
        <v>#REF!</v>
      </c>
      <c r="T167" t="e">
        <f>#REF!</f>
        <v>#REF!</v>
      </c>
      <c r="U167" t="e">
        <f t="shared" ref="U167:U172" ca="1" si="8">INDEX(OFFSET(Unite,,-1,,),MATCH(V167,Unite,0))</f>
        <v>#REF!</v>
      </c>
      <c r="V167" t="e">
        <f>#REF!</f>
        <v>#REF!</v>
      </c>
      <c r="W167" t="e">
        <f>#REF!*#REF!</f>
        <v>#REF!</v>
      </c>
      <c r="X167" t="e">
        <f>#REF!</f>
        <v>#REF!</v>
      </c>
      <c r="Z167" s="32">
        <v>107</v>
      </c>
      <c r="AA167" s="33" t="s">
        <v>805</v>
      </c>
      <c r="AB167" t="s">
        <v>359</v>
      </c>
      <c r="AC167" s="33" t="s">
        <v>806</v>
      </c>
      <c r="AD167" s="35">
        <v>2060</v>
      </c>
      <c r="AE167" s="33" t="s">
        <v>456</v>
      </c>
    </row>
    <row r="168" spans="1:31" ht="12.75" customHeight="1" x14ac:dyDescent="0.2">
      <c r="A168" t="e">
        <f t="shared" ca="1" si="3"/>
        <v>#REF!</v>
      </c>
      <c r="B168" t="e">
        <f>#REF!</f>
        <v>#REF!</v>
      </c>
      <c r="C168" t="e">
        <f>IF(#REF!="","",#REF!)</f>
        <v>#REF!</v>
      </c>
      <c r="D168" t="e">
        <f>#REF!</f>
        <v>#REF!</v>
      </c>
      <c r="E168" t="e">
        <f t="shared" ca="1" si="4"/>
        <v>#REF!</v>
      </c>
      <c r="F168" t="e">
        <f>IF(#REF!="","",#REF!)</f>
        <v>#REF!</v>
      </c>
      <c r="H168" t="e">
        <f>#REF!</f>
        <v>#REF!</v>
      </c>
      <c r="I168" s="24" t="e">
        <f>#REF!</f>
        <v>#REF!</v>
      </c>
      <c r="J168" t="e">
        <f t="shared" ca="1" si="5"/>
        <v>#REF!</v>
      </c>
      <c r="K168" t="e">
        <f>#REF!</f>
        <v>#REF!</v>
      </c>
      <c r="L168" s="69" t="e">
        <f>#REF!</f>
        <v>#REF!</v>
      </c>
      <c r="M168" s="34" t="e">
        <f>#REF!*#REF!</f>
        <v>#REF!</v>
      </c>
      <c r="N168" t="e">
        <f>#REF!</f>
        <v>#REF!</v>
      </c>
      <c r="O168" t="e">
        <f>#REF!</f>
        <v>#REF!</v>
      </c>
      <c r="P168" t="e">
        <f t="shared" ca="1" si="6"/>
        <v>#REF!</v>
      </c>
      <c r="Q168" t="e">
        <f>IF(#REF!="","",#REF!)</f>
        <v>#REF!</v>
      </c>
      <c r="R168" t="e">
        <f t="shared" ca="1" si="7"/>
        <v>#REF!</v>
      </c>
      <c r="S168" t="e">
        <f>#REF!</f>
        <v>#REF!</v>
      </c>
      <c r="T168" t="e">
        <f>#REF!</f>
        <v>#REF!</v>
      </c>
      <c r="U168" t="e">
        <f t="shared" ca="1" si="8"/>
        <v>#REF!</v>
      </c>
      <c r="V168" t="e">
        <f>#REF!</f>
        <v>#REF!</v>
      </c>
      <c r="W168" t="e">
        <f>#REF!*#REF!</f>
        <v>#REF!</v>
      </c>
      <c r="X168" t="e">
        <f>#REF!</f>
        <v>#REF!</v>
      </c>
      <c r="Z168" s="32">
        <v>108</v>
      </c>
      <c r="AA168" s="33" t="s">
        <v>807</v>
      </c>
      <c r="AB168" t="s">
        <v>359</v>
      </c>
      <c r="AC168" s="33" t="s">
        <v>808</v>
      </c>
      <c r="AD168" s="35">
        <v>2183.87</v>
      </c>
      <c r="AE168" s="33" t="s">
        <v>809</v>
      </c>
    </row>
    <row r="169" spans="1:31" ht="12.75" customHeight="1" x14ac:dyDescent="0.2">
      <c r="A169" t="e">
        <f t="shared" ca="1" si="3"/>
        <v>#REF!</v>
      </c>
      <c r="B169" t="e">
        <f>#REF!</f>
        <v>#REF!</v>
      </c>
      <c r="C169" t="e">
        <f>IF(#REF!="","",#REF!)</f>
        <v>#REF!</v>
      </c>
      <c r="D169" t="e">
        <f>#REF!</f>
        <v>#REF!</v>
      </c>
      <c r="E169" t="e">
        <f t="shared" ca="1" si="4"/>
        <v>#REF!</v>
      </c>
      <c r="F169" t="e">
        <f>IF(#REF!="","",#REF!)</f>
        <v>#REF!</v>
      </c>
      <c r="H169" t="e">
        <f>#REF!</f>
        <v>#REF!</v>
      </c>
      <c r="I169" s="24" t="e">
        <f>#REF!</f>
        <v>#REF!</v>
      </c>
      <c r="J169" t="e">
        <f t="shared" ca="1" si="5"/>
        <v>#REF!</v>
      </c>
      <c r="K169" t="e">
        <f>#REF!</f>
        <v>#REF!</v>
      </c>
      <c r="L169" s="69" t="e">
        <f>#REF!</f>
        <v>#REF!</v>
      </c>
      <c r="M169" s="34" t="e">
        <f>#REF!*#REF!</f>
        <v>#REF!</v>
      </c>
      <c r="N169" t="e">
        <f>#REF!</f>
        <v>#REF!</v>
      </c>
      <c r="O169" t="e">
        <f>#REF!</f>
        <v>#REF!</v>
      </c>
      <c r="P169" t="e">
        <f t="shared" ca="1" si="6"/>
        <v>#REF!</v>
      </c>
      <c r="Q169" t="e">
        <f>IF(#REF!="","",#REF!)</f>
        <v>#REF!</v>
      </c>
      <c r="R169" t="e">
        <f t="shared" ca="1" si="7"/>
        <v>#REF!</v>
      </c>
      <c r="S169" t="e">
        <f>#REF!</f>
        <v>#REF!</v>
      </c>
      <c r="T169" t="e">
        <f>#REF!</f>
        <v>#REF!</v>
      </c>
      <c r="U169" t="e">
        <f t="shared" ca="1" si="8"/>
        <v>#REF!</v>
      </c>
      <c r="V169" t="e">
        <f>#REF!</f>
        <v>#REF!</v>
      </c>
      <c r="W169" t="e">
        <f>#REF!*#REF!</f>
        <v>#REF!</v>
      </c>
      <c r="X169" t="e">
        <f>#REF!</f>
        <v>#REF!</v>
      </c>
      <c r="Z169" s="32">
        <v>109</v>
      </c>
      <c r="AA169" s="33" t="s">
        <v>810</v>
      </c>
      <c r="AB169" t="s">
        <v>359</v>
      </c>
      <c r="AC169" s="33" t="s">
        <v>811</v>
      </c>
      <c r="AD169" s="35">
        <v>1371.75</v>
      </c>
      <c r="AE169" s="33" t="s">
        <v>456</v>
      </c>
    </row>
    <row r="170" spans="1:31" ht="12.75" customHeight="1" x14ac:dyDescent="0.2">
      <c r="A170" t="e">
        <f t="shared" ca="1" si="3"/>
        <v>#REF!</v>
      </c>
      <c r="B170" t="e">
        <f>#REF!</f>
        <v>#REF!</v>
      </c>
      <c r="C170" t="e">
        <f>IF(#REF!="","",#REF!)</f>
        <v>#REF!</v>
      </c>
      <c r="D170" t="e">
        <f>#REF!</f>
        <v>#REF!</v>
      </c>
      <c r="E170" t="e">
        <f t="shared" ca="1" si="4"/>
        <v>#REF!</v>
      </c>
      <c r="F170" t="e">
        <f>IF(#REF!="","",#REF!)</f>
        <v>#REF!</v>
      </c>
      <c r="H170" t="e">
        <f>#REF!</f>
        <v>#REF!</v>
      </c>
      <c r="I170" s="24" t="e">
        <f>#REF!</f>
        <v>#REF!</v>
      </c>
      <c r="J170" t="e">
        <f t="shared" ca="1" si="5"/>
        <v>#REF!</v>
      </c>
      <c r="K170" t="e">
        <f>#REF!</f>
        <v>#REF!</v>
      </c>
      <c r="L170" s="69" t="e">
        <f>#REF!</f>
        <v>#REF!</v>
      </c>
      <c r="M170" s="34" t="e">
        <f>#REF!*#REF!</f>
        <v>#REF!</v>
      </c>
      <c r="N170" t="e">
        <f>#REF!</f>
        <v>#REF!</v>
      </c>
      <c r="O170" t="e">
        <f>#REF!</f>
        <v>#REF!</v>
      </c>
      <c r="P170" t="e">
        <f t="shared" ca="1" si="6"/>
        <v>#REF!</v>
      </c>
      <c r="Q170" t="e">
        <f>IF(#REF!="","",#REF!)</f>
        <v>#REF!</v>
      </c>
      <c r="R170" t="e">
        <f t="shared" ca="1" si="7"/>
        <v>#REF!</v>
      </c>
      <c r="S170" t="e">
        <f>#REF!</f>
        <v>#REF!</v>
      </c>
      <c r="T170" t="e">
        <f>#REF!</f>
        <v>#REF!</v>
      </c>
      <c r="U170" t="e">
        <f t="shared" ca="1" si="8"/>
        <v>#REF!</v>
      </c>
      <c r="V170" t="e">
        <f>#REF!</f>
        <v>#REF!</v>
      </c>
      <c r="W170" t="e">
        <f>#REF!*#REF!</f>
        <v>#REF!</v>
      </c>
      <c r="X170" t="e">
        <f>#REF!</f>
        <v>#REF!</v>
      </c>
      <c r="Z170" s="32">
        <v>110</v>
      </c>
      <c r="AA170" s="33" t="s">
        <v>812</v>
      </c>
      <c r="AB170" t="s">
        <v>359</v>
      </c>
      <c r="AC170" s="33" t="s">
        <v>813</v>
      </c>
      <c r="AD170" s="35">
        <v>1374.73</v>
      </c>
      <c r="AE170" s="33" t="s">
        <v>456</v>
      </c>
    </row>
    <row r="171" spans="1:31" ht="12.75" customHeight="1" x14ac:dyDescent="0.2">
      <c r="A171" t="e">
        <f t="shared" ca="1" si="3"/>
        <v>#REF!</v>
      </c>
      <c r="B171" t="e">
        <f>#REF!</f>
        <v>#REF!</v>
      </c>
      <c r="C171" t="e">
        <f>IF(#REF!="","",#REF!)</f>
        <v>#REF!</v>
      </c>
      <c r="D171" t="e">
        <f>#REF!</f>
        <v>#REF!</v>
      </c>
      <c r="E171" t="e">
        <f t="shared" ca="1" si="4"/>
        <v>#REF!</v>
      </c>
      <c r="F171" t="e">
        <f>IF(#REF!="","",#REF!)</f>
        <v>#REF!</v>
      </c>
      <c r="H171" t="e">
        <f>#REF!</f>
        <v>#REF!</v>
      </c>
      <c r="I171" s="24" t="e">
        <f>#REF!</f>
        <v>#REF!</v>
      </c>
      <c r="J171" t="e">
        <f t="shared" ca="1" si="5"/>
        <v>#REF!</v>
      </c>
      <c r="K171" t="e">
        <f>#REF!</f>
        <v>#REF!</v>
      </c>
      <c r="L171" s="69" t="e">
        <f>#REF!</f>
        <v>#REF!</v>
      </c>
      <c r="M171" s="34" t="e">
        <f>#REF!*#REF!</f>
        <v>#REF!</v>
      </c>
      <c r="N171" t="e">
        <f>#REF!</f>
        <v>#REF!</v>
      </c>
      <c r="O171" t="e">
        <f>#REF!</f>
        <v>#REF!</v>
      </c>
      <c r="P171" t="e">
        <f t="shared" ca="1" si="6"/>
        <v>#REF!</v>
      </c>
      <c r="Q171" t="e">
        <f>IF(#REF!="","",#REF!)</f>
        <v>#REF!</v>
      </c>
      <c r="R171" t="e">
        <f t="shared" ca="1" si="7"/>
        <v>#REF!</v>
      </c>
      <c r="S171" t="e">
        <f>#REF!</f>
        <v>#REF!</v>
      </c>
      <c r="T171" t="e">
        <f>#REF!</f>
        <v>#REF!</v>
      </c>
      <c r="U171" t="e">
        <f t="shared" ca="1" si="8"/>
        <v>#REF!</v>
      </c>
      <c r="V171" t="e">
        <f>#REF!</f>
        <v>#REF!</v>
      </c>
      <c r="W171" t="e">
        <f>#REF!*#REF!</f>
        <v>#REF!</v>
      </c>
      <c r="X171" t="e">
        <f>#REF!</f>
        <v>#REF!</v>
      </c>
      <c r="Z171" s="32">
        <v>111</v>
      </c>
      <c r="AA171" s="33" t="s">
        <v>814</v>
      </c>
      <c r="AB171" t="s">
        <v>359</v>
      </c>
      <c r="AC171" s="33" t="s">
        <v>815</v>
      </c>
      <c r="AD171" s="35">
        <v>1827.5</v>
      </c>
      <c r="AE171" s="33" t="s">
        <v>456</v>
      </c>
    </row>
    <row r="172" spans="1:31" ht="12.75" customHeight="1" x14ac:dyDescent="0.2">
      <c r="A172" t="e">
        <f t="shared" ca="1" si="3"/>
        <v>#REF!</v>
      </c>
      <c r="B172" t="e">
        <f>#REF!</f>
        <v>#REF!</v>
      </c>
      <c r="C172" t="e">
        <f>IF(#REF!="","",#REF!)</f>
        <v>#REF!</v>
      </c>
      <c r="D172" t="e">
        <f>#REF!</f>
        <v>#REF!</v>
      </c>
      <c r="E172" t="e">
        <f t="shared" ca="1" si="4"/>
        <v>#REF!</v>
      </c>
      <c r="F172" t="e">
        <f>IF(#REF!="","",#REF!)</f>
        <v>#REF!</v>
      </c>
      <c r="H172" t="e">
        <f>#REF!</f>
        <v>#REF!</v>
      </c>
      <c r="I172" s="24" t="e">
        <f>#REF!</f>
        <v>#REF!</v>
      </c>
      <c r="J172" t="e">
        <f t="shared" ca="1" si="5"/>
        <v>#REF!</v>
      </c>
      <c r="K172" t="e">
        <f>#REF!</f>
        <v>#REF!</v>
      </c>
      <c r="L172" s="69" t="e">
        <f>#REF!</f>
        <v>#REF!</v>
      </c>
      <c r="M172" s="34" t="e">
        <f>#REF!*#REF!</f>
        <v>#REF!</v>
      </c>
      <c r="N172" t="e">
        <f>#REF!</f>
        <v>#REF!</v>
      </c>
      <c r="O172" t="e">
        <f>#REF!</f>
        <v>#REF!</v>
      </c>
      <c r="P172" t="e">
        <f t="shared" ca="1" si="6"/>
        <v>#REF!</v>
      </c>
      <c r="Q172" t="e">
        <f>IF(#REF!="","",#REF!)</f>
        <v>#REF!</v>
      </c>
      <c r="R172" t="e">
        <f t="shared" ca="1" si="7"/>
        <v>#REF!</v>
      </c>
      <c r="S172" t="e">
        <f>#REF!</f>
        <v>#REF!</v>
      </c>
      <c r="T172" t="e">
        <f>#REF!</f>
        <v>#REF!</v>
      </c>
      <c r="U172" t="e">
        <f t="shared" ca="1" si="8"/>
        <v>#REF!</v>
      </c>
      <c r="V172" t="e">
        <f>#REF!</f>
        <v>#REF!</v>
      </c>
      <c r="W172" t="e">
        <f>#REF!*#REF!</f>
        <v>#REF!</v>
      </c>
      <c r="X172" t="e">
        <f>#REF!</f>
        <v>#REF!</v>
      </c>
      <c r="Z172" s="32">
        <v>112</v>
      </c>
      <c r="AA172" s="33" t="s">
        <v>816</v>
      </c>
      <c r="AB172" t="s">
        <v>359</v>
      </c>
      <c r="AC172" s="33" t="s">
        <v>817</v>
      </c>
      <c r="AD172" s="35">
        <v>2972.78</v>
      </c>
      <c r="AE172" s="33" t="s">
        <v>456</v>
      </c>
    </row>
    <row r="173" spans="1:31" ht="12.75" customHeight="1" x14ac:dyDescent="0.2">
      <c r="F173" s="60"/>
      <c r="H173" s="69"/>
      <c r="Z173" s="32">
        <v>93</v>
      </c>
      <c r="AA173" s="33" t="s">
        <v>818</v>
      </c>
      <c r="AB173" t="s">
        <v>359</v>
      </c>
      <c r="AC173" s="33" t="s">
        <v>819</v>
      </c>
      <c r="AD173" s="35">
        <v>1930.42</v>
      </c>
      <c r="AE173" s="33" t="s">
        <v>747</v>
      </c>
    </row>
    <row r="174" spans="1:31" ht="12.75" customHeight="1" x14ac:dyDescent="0.2">
      <c r="A174" t="s">
        <v>180</v>
      </c>
      <c r="B174" t="s">
        <v>820</v>
      </c>
      <c r="C174" t="s">
        <v>821</v>
      </c>
      <c r="D174" t="s">
        <v>692</v>
      </c>
      <c r="E174" t="s">
        <v>693</v>
      </c>
      <c r="F174" t="s">
        <v>179</v>
      </c>
      <c r="G174" t="s">
        <v>694</v>
      </c>
      <c r="H174" t="s">
        <v>695</v>
      </c>
      <c r="I174" t="s">
        <v>696</v>
      </c>
      <c r="J174" s="60" t="s">
        <v>697</v>
      </c>
      <c r="K174" t="s">
        <v>822</v>
      </c>
      <c r="L174" t="s">
        <v>698</v>
      </c>
      <c r="M174" t="s">
        <v>319</v>
      </c>
      <c r="Z174" s="32">
        <v>63</v>
      </c>
      <c r="AA174" s="33" t="s">
        <v>823</v>
      </c>
      <c r="AB174" t="s">
        <v>359</v>
      </c>
      <c r="AC174" s="33" t="s">
        <v>824</v>
      </c>
      <c r="AD174" s="35">
        <v>8048.18</v>
      </c>
      <c r="AE174" s="33" t="s">
        <v>701</v>
      </c>
    </row>
    <row r="175" spans="1:31" ht="12.75" customHeight="1" x14ac:dyDescent="0.2">
      <c r="A175" t="e">
        <f t="shared" ref="A175:A180" ca="1" si="9">DQ$2</f>
        <v>#REF!</v>
      </c>
      <c r="B175">
        <f t="shared" ref="B175:B180" si="10">IF(E$56=TRUE,5,IF(F$56=TRUE,6,0))</f>
        <v>0</v>
      </c>
      <c r="C175" t="e">
        <f>#REF!</f>
        <v>#REF!</v>
      </c>
      <c r="D175" t="e">
        <f>#REF!</f>
        <v>#REF!</v>
      </c>
      <c r="E175" t="b">
        <v>0</v>
      </c>
      <c r="F175" t="e">
        <f t="shared" ref="F175:F180" ca="1" si="11">IF(AND(DP$2="Agricole",LEFT(C175,2)="52"),"Agricole","Affaires")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s="60" t="e">
        <f>#REF!</f>
        <v>#REF!</v>
      </c>
      <c r="K175" s="59" t="e">
        <f>#REF!</f>
        <v>#REF!</v>
      </c>
      <c r="L175" s="1" t="e">
        <f t="shared" ref="L175:L180" ca="1" si="12">IF(D175&lt;&gt;"Choisir…",INDEX(OFFSET(INDIRECT(AD$30),,1,,),MATCH(D175,INDIRECT(AD$30),0)),"")</f>
        <v>#REF!</v>
      </c>
      <c r="M175" s="1" t="e">
        <f t="shared" ref="M175:M180" ca="1" si="13">IF(D175&lt;&gt;"Choisir…",INDEX(OFFSET(INDIRECT(AD$30),,2,,),MATCH(D175,INDIRECT(AD$30),0)),"")</f>
        <v>#REF!</v>
      </c>
      <c r="Z175" s="32">
        <v>64</v>
      </c>
      <c r="AA175" s="33" t="s">
        <v>825</v>
      </c>
      <c r="AB175" t="s">
        <v>359</v>
      </c>
      <c r="AC175" s="33" t="s">
        <v>826</v>
      </c>
      <c r="AD175" s="35">
        <v>4082.5</v>
      </c>
      <c r="AE175" s="33" t="s">
        <v>701</v>
      </c>
    </row>
    <row r="176" spans="1:31" ht="12.75" customHeight="1" x14ac:dyDescent="0.2">
      <c r="A176" t="e">
        <f t="shared" ca="1" si="9"/>
        <v>#REF!</v>
      </c>
      <c r="B176">
        <f t="shared" si="10"/>
        <v>0</v>
      </c>
      <c r="C176" t="e">
        <f>#REF!</f>
        <v>#REF!</v>
      </c>
      <c r="D176" t="e">
        <f>#REF!</f>
        <v>#REF!</v>
      </c>
      <c r="E176" t="b">
        <v>0</v>
      </c>
      <c r="F176" t="e">
        <f t="shared" ca="1" si="11"/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s="60" t="e">
        <f>#REF!</f>
        <v>#REF!</v>
      </c>
      <c r="K176" s="59" t="e">
        <f>#REF!</f>
        <v>#REF!</v>
      </c>
      <c r="L176" s="1" t="e">
        <f t="shared" ca="1" si="12"/>
        <v>#REF!</v>
      </c>
      <c r="M176" s="1" t="e">
        <f t="shared" ca="1" si="13"/>
        <v>#REF!</v>
      </c>
      <c r="Z176" s="32">
        <v>65</v>
      </c>
      <c r="AA176" s="33" t="s">
        <v>827</v>
      </c>
      <c r="AB176" t="s">
        <v>359</v>
      </c>
      <c r="AC176" s="33" t="s">
        <v>828</v>
      </c>
      <c r="AD176" s="35">
        <v>4656.72</v>
      </c>
      <c r="AE176" s="33" t="s">
        <v>701</v>
      </c>
    </row>
    <row r="177" spans="1:31" ht="12.75" customHeight="1" x14ac:dyDescent="0.2">
      <c r="A177" t="e">
        <f t="shared" ca="1" si="9"/>
        <v>#REF!</v>
      </c>
      <c r="B177">
        <f t="shared" si="10"/>
        <v>0</v>
      </c>
      <c r="C177" t="e">
        <f>#REF!</f>
        <v>#REF!</v>
      </c>
      <c r="D177" t="e">
        <f>#REF!</f>
        <v>#REF!</v>
      </c>
      <c r="E177" t="b">
        <v>0</v>
      </c>
      <c r="F177" t="e">
        <f t="shared" ca="1" si="11"/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s="60" t="e">
        <f>#REF!</f>
        <v>#REF!</v>
      </c>
      <c r="K177" s="59" t="e">
        <f>#REF!</f>
        <v>#REF!</v>
      </c>
      <c r="L177" s="1" t="e">
        <f t="shared" ca="1" si="12"/>
        <v>#REF!</v>
      </c>
      <c r="M177" s="1" t="e">
        <f t="shared" ca="1" si="13"/>
        <v>#REF!</v>
      </c>
      <c r="Z177" s="32">
        <v>66</v>
      </c>
      <c r="AA177" s="33" t="s">
        <v>829</v>
      </c>
      <c r="AB177" t="s">
        <v>359</v>
      </c>
      <c r="AC177" s="33" t="s">
        <v>830</v>
      </c>
      <c r="AD177" s="35">
        <v>13317.3</v>
      </c>
      <c r="AE177" s="33" t="s">
        <v>701</v>
      </c>
    </row>
    <row r="178" spans="1:31" ht="12.75" customHeight="1" x14ac:dyDescent="0.2">
      <c r="A178" t="e">
        <f t="shared" ca="1" si="9"/>
        <v>#REF!</v>
      </c>
      <c r="B178">
        <f t="shared" si="10"/>
        <v>0</v>
      </c>
      <c r="C178" t="e">
        <f>#REF!</f>
        <v>#REF!</v>
      </c>
      <c r="D178" t="e">
        <f>#REF!</f>
        <v>#REF!</v>
      </c>
      <c r="E178" t="b">
        <v>0</v>
      </c>
      <c r="F178" t="e">
        <f t="shared" ca="1" si="11"/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s="60" t="e">
        <f>#REF!</f>
        <v>#REF!</v>
      </c>
      <c r="K178" s="59" t="e">
        <f>#REF!</f>
        <v>#REF!</v>
      </c>
      <c r="L178" s="1" t="e">
        <f t="shared" ca="1" si="12"/>
        <v>#REF!</v>
      </c>
      <c r="M178" s="1" t="e">
        <f t="shared" ca="1" si="13"/>
        <v>#REF!</v>
      </c>
      <c r="Z178" s="32">
        <v>67</v>
      </c>
      <c r="AA178" s="33" t="s">
        <v>831</v>
      </c>
      <c r="AB178" t="s">
        <v>359</v>
      </c>
      <c r="AC178" s="33" t="s">
        <v>832</v>
      </c>
      <c r="AD178" s="35">
        <v>4130.96</v>
      </c>
      <c r="AE178" s="33" t="s">
        <v>701</v>
      </c>
    </row>
    <row r="179" spans="1:31" ht="12.75" customHeight="1" x14ac:dyDescent="0.2">
      <c r="A179" t="e">
        <f t="shared" ca="1" si="9"/>
        <v>#REF!</v>
      </c>
      <c r="B179">
        <f t="shared" si="10"/>
        <v>0</v>
      </c>
      <c r="C179" t="e">
        <f>#REF!</f>
        <v>#REF!</v>
      </c>
      <c r="D179" t="e">
        <f>#REF!</f>
        <v>#REF!</v>
      </c>
      <c r="E179" t="b">
        <v>0</v>
      </c>
      <c r="F179" t="e">
        <f t="shared" ca="1" si="11"/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s="60" t="e">
        <f>#REF!</f>
        <v>#REF!</v>
      </c>
      <c r="K179" s="59" t="e">
        <f>#REF!</f>
        <v>#REF!</v>
      </c>
      <c r="L179" s="1" t="e">
        <f t="shared" ca="1" si="12"/>
        <v>#REF!</v>
      </c>
      <c r="M179" s="1" t="e">
        <f t="shared" ca="1" si="13"/>
        <v>#REF!</v>
      </c>
      <c r="Z179" s="32">
        <v>69</v>
      </c>
      <c r="AA179" s="33" t="s">
        <v>833</v>
      </c>
      <c r="AB179" t="s">
        <v>359</v>
      </c>
      <c r="AC179" s="33" t="s">
        <v>834</v>
      </c>
      <c r="AD179" s="35">
        <v>10175</v>
      </c>
      <c r="AE179" s="33" t="s">
        <v>456</v>
      </c>
    </row>
    <row r="180" spans="1:31" ht="12.75" customHeight="1" x14ac:dyDescent="0.2">
      <c r="A180" t="e">
        <f t="shared" ca="1" si="9"/>
        <v>#REF!</v>
      </c>
      <c r="B180">
        <f t="shared" si="10"/>
        <v>0</v>
      </c>
      <c r="C180" t="e">
        <f>#REF!</f>
        <v>#REF!</v>
      </c>
      <c r="D180" t="e">
        <f>#REF!</f>
        <v>#REF!</v>
      </c>
      <c r="E180" t="b">
        <v>0</v>
      </c>
      <c r="F180" t="e">
        <f t="shared" ca="1" si="11"/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s="60" t="e">
        <f>#REF!</f>
        <v>#REF!</v>
      </c>
      <c r="K180" s="59" t="e">
        <f>#REF!</f>
        <v>#REF!</v>
      </c>
      <c r="L180" s="1" t="e">
        <f t="shared" ca="1" si="12"/>
        <v>#REF!</v>
      </c>
      <c r="M180" s="1" t="e">
        <f t="shared" ca="1" si="13"/>
        <v>#REF!</v>
      </c>
      <c r="Z180" s="32">
        <v>70</v>
      </c>
      <c r="AA180" s="33" t="s">
        <v>835</v>
      </c>
      <c r="AB180" t="s">
        <v>359</v>
      </c>
      <c r="AC180" s="33" t="s">
        <v>836</v>
      </c>
      <c r="AD180" s="35">
        <v>10350</v>
      </c>
      <c r="AE180" s="33" t="s">
        <v>456</v>
      </c>
    </row>
    <row r="181" spans="1:31" ht="12.75" customHeight="1" x14ac:dyDescent="0.2">
      <c r="I181" s="60"/>
      <c r="K181" s="69"/>
      <c r="Z181" s="32">
        <v>71</v>
      </c>
      <c r="AA181" s="33" t="s">
        <v>837</v>
      </c>
      <c r="AB181" t="s">
        <v>359</v>
      </c>
      <c r="AC181" s="33" t="s">
        <v>838</v>
      </c>
      <c r="AD181" s="35">
        <v>4716.3999999999996</v>
      </c>
      <c r="AE181" s="33" t="s">
        <v>456</v>
      </c>
    </row>
    <row r="182" spans="1:31" ht="12.75" customHeight="1" x14ac:dyDescent="0.2">
      <c r="F182" s="60"/>
      <c r="H182" s="69"/>
      <c r="Z182" s="32">
        <v>75</v>
      </c>
      <c r="AA182" s="33" t="s">
        <v>839</v>
      </c>
      <c r="AB182" t="s">
        <v>359</v>
      </c>
      <c r="AC182" s="33" t="s">
        <v>840</v>
      </c>
      <c r="AD182" s="35">
        <v>1400</v>
      </c>
      <c r="AE182" s="33" t="s">
        <v>477</v>
      </c>
    </row>
    <row r="183" spans="1:31" ht="12.75" customHeight="1" x14ac:dyDescent="0.2">
      <c r="Z183" s="32">
        <v>76</v>
      </c>
      <c r="AA183" s="33" t="s">
        <v>841</v>
      </c>
      <c r="AB183" t="s">
        <v>359</v>
      </c>
      <c r="AC183" s="33" t="s">
        <v>842</v>
      </c>
      <c r="AD183" s="35">
        <v>17200</v>
      </c>
      <c r="AE183" s="33" t="s">
        <v>456</v>
      </c>
    </row>
    <row r="184" spans="1:31" ht="12.75" customHeight="1" x14ac:dyDescent="0.2">
      <c r="Z184" s="32">
        <v>82</v>
      </c>
      <c r="AA184" s="33" t="s">
        <v>208</v>
      </c>
      <c r="AB184" t="s">
        <v>359</v>
      </c>
      <c r="AC184" s="33" t="s">
        <v>843</v>
      </c>
      <c r="AD184" s="35">
        <v>0</v>
      </c>
      <c r="AE184" s="33" t="s">
        <v>454</v>
      </c>
    </row>
    <row r="185" spans="1:31" ht="12.75" customHeight="1" x14ac:dyDescent="0.2">
      <c r="P185" s="70" t="s">
        <v>844</v>
      </c>
    </row>
    <row r="186" spans="1:31" ht="12.75" customHeight="1" x14ac:dyDescent="0.2"/>
    <row r="187" spans="1:31" ht="12.75" customHeight="1" x14ac:dyDescent="0.2"/>
    <row r="188" spans="1:31" ht="12.75" customHeight="1" x14ac:dyDescent="0.2"/>
    <row r="189" spans="1:31" ht="12.75" customHeight="1" x14ac:dyDescent="0.2"/>
    <row r="190" spans="1:31" ht="12.75" customHeight="1" x14ac:dyDescent="0.2"/>
    <row r="191" spans="1:31" ht="12.75" customHeight="1" x14ac:dyDescent="0.2"/>
    <row r="192" spans="1:31" ht="12.75" customHeight="1" x14ac:dyDescent="0.2"/>
    <row r="193" spans="7:18" ht="12.75" customHeight="1" x14ac:dyDescent="0.2">
      <c r="G193" t="s">
        <v>180</v>
      </c>
      <c r="H193" s="27" t="s">
        <v>845</v>
      </c>
      <c r="I193" s="27" t="s">
        <v>846</v>
      </c>
      <c r="J193" s="28" t="s">
        <v>847</v>
      </c>
      <c r="K193" s="29" t="s">
        <v>848</v>
      </c>
      <c r="L193" s="29" t="s">
        <v>849</v>
      </c>
      <c r="M193" s="29" t="s">
        <v>850</v>
      </c>
      <c r="N193" s="27" t="s">
        <v>851</v>
      </c>
      <c r="O193" t="s">
        <v>852</v>
      </c>
      <c r="P193" s="66" t="s">
        <v>853</v>
      </c>
      <c r="Q193" s="66" t="s">
        <v>854</v>
      </c>
      <c r="R193" s="66" t="s">
        <v>855</v>
      </c>
    </row>
    <row r="194" spans="7:18" ht="12.75" customHeight="1" x14ac:dyDescent="0.2">
      <c r="G194" t="e">
        <f t="shared" ref="G194:G222" ca="1" si="14">DQ$2</f>
        <v>#REF!</v>
      </c>
      <c r="H194" t="e">
        <f>IF(#REF!="","",#REF!)</f>
        <v>#REF!</v>
      </c>
      <c r="I194" t="e">
        <f>IF(#REF!="","",#REF!)</f>
        <v>#REF!</v>
      </c>
      <c r="J194" t="e">
        <f>IF(#REF!="","",#REF!)</f>
        <v>#REF!</v>
      </c>
      <c r="K194" t="e">
        <f>IF(#REF!="","",#REF!)</f>
        <v>#REF!</v>
      </c>
      <c r="L194" t="e">
        <f>IF(#REF!="","",#REF!)</f>
        <v>#REF!</v>
      </c>
      <c r="M194" t="e">
        <f>IF(#REF!="","",#REF!)</f>
        <v>#REF!</v>
      </c>
      <c r="N194" t="e">
        <f>IF(#REF!="","",#REF!)</f>
        <v>#REF!</v>
      </c>
      <c r="O194" t="e">
        <f>IF(#REF!="","",#REF!)</f>
        <v>#REF!</v>
      </c>
      <c r="P194" t="e">
        <f>IF(#REF!="","",#REF!)</f>
        <v>#REF!</v>
      </c>
      <c r="Q194" t="e">
        <f>IF(#REF!="","",#REF!)</f>
        <v>#REF!</v>
      </c>
      <c r="R194" t="e">
        <f>IF(#REF!="","",#REF!)</f>
        <v>#REF!</v>
      </c>
    </row>
    <row r="195" spans="7:18" x14ac:dyDescent="0.2">
      <c r="G195" t="e">
        <f t="shared" ca="1" si="14"/>
        <v>#REF!</v>
      </c>
      <c r="H195" t="e">
        <f>IF(#REF!="","",#REF!)</f>
        <v>#REF!</v>
      </c>
      <c r="I195" t="e">
        <f>IF(#REF!="","",#REF!)</f>
        <v>#REF!</v>
      </c>
      <c r="J195" t="e">
        <f>IF(#REF!="","",#REF!)</f>
        <v>#REF!</v>
      </c>
      <c r="K195" t="e">
        <f>IF(#REF!="","",#REF!)</f>
        <v>#REF!</v>
      </c>
      <c r="L195" t="e">
        <f>IF(#REF!="","",#REF!)</f>
        <v>#REF!</v>
      </c>
      <c r="M195" t="e">
        <f>IF(#REF!="","",#REF!)</f>
        <v>#REF!</v>
      </c>
      <c r="N195" t="e">
        <f>IF(#REF!="","",#REF!)</f>
        <v>#REF!</v>
      </c>
      <c r="O195" t="e">
        <f>IF(#REF!="","",#REF!)</f>
        <v>#REF!</v>
      </c>
      <c r="P195" t="e">
        <f>IF(#REF!="","",#REF!)</f>
        <v>#REF!</v>
      </c>
      <c r="Q195" t="e">
        <f>IF(#REF!="","",#REF!)</f>
        <v>#REF!</v>
      </c>
      <c r="R195" t="e">
        <f>IF(#REF!="","",#REF!)</f>
        <v>#REF!</v>
      </c>
    </row>
    <row r="196" spans="7:18" x14ac:dyDescent="0.2">
      <c r="G196" t="e">
        <f t="shared" ca="1" si="14"/>
        <v>#REF!</v>
      </c>
      <c r="H196" t="e">
        <f>IF(#REF!="","",#REF!)</f>
        <v>#REF!</v>
      </c>
      <c r="I196" t="e">
        <f>IF(#REF!="","",#REF!)</f>
        <v>#REF!</v>
      </c>
      <c r="J196" t="e">
        <f>IF(#REF!="","",#REF!)</f>
        <v>#REF!</v>
      </c>
      <c r="K196" t="e">
        <f>IF(#REF!="","",#REF!)</f>
        <v>#REF!</v>
      </c>
      <c r="L196" t="e">
        <f>IF(#REF!="","",#REF!)</f>
        <v>#REF!</v>
      </c>
      <c r="M196" t="e">
        <f>IF(#REF!="","",#REF!)</f>
        <v>#REF!</v>
      </c>
      <c r="N196" t="e">
        <f>IF(#REF!="","",#REF!)</f>
        <v>#REF!</v>
      </c>
      <c r="O196" t="e">
        <f>IF(#REF!="","",#REF!)</f>
        <v>#REF!</v>
      </c>
      <c r="P196" t="e">
        <f>IF(#REF!="","",#REF!)</f>
        <v>#REF!</v>
      </c>
      <c r="Q196" t="e">
        <f>IF(#REF!="","",#REF!)</f>
        <v>#REF!</v>
      </c>
      <c r="R196" t="e">
        <f>IF(#REF!="","",#REF!)</f>
        <v>#REF!</v>
      </c>
    </row>
    <row r="197" spans="7:18" x14ac:dyDescent="0.2">
      <c r="G197" t="e">
        <f t="shared" ca="1" si="14"/>
        <v>#REF!</v>
      </c>
      <c r="H197" t="e">
        <f>IF(#REF!="","",#REF!)</f>
        <v>#REF!</v>
      </c>
      <c r="I197" t="e">
        <f>IF(#REF!="","",#REF!)</f>
        <v>#REF!</v>
      </c>
      <c r="J197" t="e">
        <f>IF(#REF!="","",#REF!)</f>
        <v>#REF!</v>
      </c>
      <c r="K197" t="e">
        <f>IF(#REF!="","",#REF!)</f>
        <v>#REF!</v>
      </c>
      <c r="L197" t="e">
        <f>IF(#REF!="","",#REF!)</f>
        <v>#REF!</v>
      </c>
      <c r="M197" t="e">
        <f>IF(#REF!="","",#REF!)</f>
        <v>#REF!</v>
      </c>
      <c r="N197" t="e">
        <f>IF(#REF!="","",#REF!)</f>
        <v>#REF!</v>
      </c>
      <c r="O197" t="e">
        <f>IF(#REF!="","",#REF!)</f>
        <v>#REF!</v>
      </c>
      <c r="P197" t="e">
        <f>IF(#REF!="","",#REF!)</f>
        <v>#REF!</v>
      </c>
      <c r="Q197" t="e">
        <f>IF(#REF!="","",#REF!)</f>
        <v>#REF!</v>
      </c>
      <c r="R197" t="e">
        <f>IF(#REF!="","",#REF!)</f>
        <v>#REF!</v>
      </c>
    </row>
    <row r="198" spans="7:18" x14ac:dyDescent="0.2">
      <c r="G198" t="e">
        <f t="shared" ca="1" si="14"/>
        <v>#REF!</v>
      </c>
      <c r="H198" t="e">
        <f>IF(#REF!="","",#REF!)</f>
        <v>#REF!</v>
      </c>
      <c r="I198" t="e">
        <f>IF(#REF!="","",#REF!)</f>
        <v>#REF!</v>
      </c>
      <c r="J198" t="e">
        <f>IF(#REF!="","",#REF!)</f>
        <v>#REF!</v>
      </c>
      <c r="K198" t="e">
        <f>IF(#REF!="","",#REF!)</f>
        <v>#REF!</v>
      </c>
      <c r="L198" t="e">
        <f>IF(#REF!="","",#REF!)</f>
        <v>#REF!</v>
      </c>
      <c r="M198" t="e">
        <f>IF(#REF!="","",#REF!)</f>
        <v>#REF!</v>
      </c>
      <c r="N198" t="e">
        <f>IF(#REF!="","",#REF!)</f>
        <v>#REF!</v>
      </c>
      <c r="O198" t="e">
        <f>IF(#REF!="","",#REF!)</f>
        <v>#REF!</v>
      </c>
      <c r="P198" t="e">
        <f>IF(#REF!="","",#REF!)</f>
        <v>#REF!</v>
      </c>
      <c r="Q198" t="e">
        <f>IF(#REF!="","",#REF!)</f>
        <v>#REF!</v>
      </c>
      <c r="R198" t="e">
        <f>IF(#REF!="","",#REF!)</f>
        <v>#REF!</v>
      </c>
    </row>
    <row r="199" spans="7:18" x14ac:dyDescent="0.2">
      <c r="G199" t="e">
        <f t="shared" ca="1" si="14"/>
        <v>#REF!</v>
      </c>
      <c r="H199" t="e">
        <f>IF(#REF!="","",#REF!)</f>
        <v>#REF!</v>
      </c>
      <c r="I199" t="e">
        <f>IF(#REF!="","",#REF!)</f>
        <v>#REF!</v>
      </c>
      <c r="J199" t="e">
        <f>IF(#REF!="","",#REF!)</f>
        <v>#REF!</v>
      </c>
      <c r="K199" t="e">
        <f>IF(#REF!="","",#REF!)</f>
        <v>#REF!</v>
      </c>
      <c r="L199" t="e">
        <f>IF(#REF!="","",#REF!)</f>
        <v>#REF!</v>
      </c>
      <c r="M199" t="e">
        <f>IF(#REF!="","",#REF!)</f>
        <v>#REF!</v>
      </c>
      <c r="N199" t="e">
        <f>IF(#REF!="","",#REF!)</f>
        <v>#REF!</v>
      </c>
      <c r="O199" t="e">
        <f>IF(#REF!="","",#REF!)</f>
        <v>#REF!</v>
      </c>
      <c r="P199" t="e">
        <f>IF(#REF!="","",#REF!)</f>
        <v>#REF!</v>
      </c>
      <c r="Q199" t="e">
        <f>IF(#REF!="","",#REF!)</f>
        <v>#REF!</v>
      </c>
      <c r="R199" t="e">
        <f>IF(#REF!="","",#REF!)</f>
        <v>#REF!</v>
      </c>
    </row>
    <row r="200" spans="7:18" x14ac:dyDescent="0.2">
      <c r="G200" t="e">
        <f t="shared" ca="1" si="14"/>
        <v>#REF!</v>
      </c>
      <c r="H200" t="e">
        <f>IF(#REF!="","",#REF!)</f>
        <v>#REF!</v>
      </c>
      <c r="I200" t="e">
        <f>IF(#REF!="","",#REF!)</f>
        <v>#REF!</v>
      </c>
      <c r="J200" t="e">
        <f>IF(#REF!="","",#REF!)</f>
        <v>#REF!</v>
      </c>
      <c r="K200" t="e">
        <f>IF(#REF!="","",#REF!)</f>
        <v>#REF!</v>
      </c>
      <c r="L200" t="e">
        <f>IF(#REF!="","",#REF!)</f>
        <v>#REF!</v>
      </c>
      <c r="M200" t="e">
        <f>IF(#REF!="","",#REF!)</f>
        <v>#REF!</v>
      </c>
      <c r="N200" t="e">
        <f>IF(#REF!="","",#REF!)</f>
        <v>#REF!</v>
      </c>
      <c r="O200" t="e">
        <f>IF(#REF!="","",#REF!)</f>
        <v>#REF!</v>
      </c>
      <c r="P200" t="e">
        <f>IF(#REF!="","",#REF!)</f>
        <v>#REF!</v>
      </c>
      <c r="Q200" t="e">
        <f>IF(#REF!="","",#REF!)</f>
        <v>#REF!</v>
      </c>
      <c r="R200" t="e">
        <f>IF(#REF!="","",#REF!)</f>
        <v>#REF!</v>
      </c>
    </row>
    <row r="201" spans="7:18" x14ac:dyDescent="0.2">
      <c r="G201" t="e">
        <f t="shared" ca="1" si="14"/>
        <v>#REF!</v>
      </c>
      <c r="H201" t="e">
        <f>IF(#REF!="","",#REF!)</f>
        <v>#REF!</v>
      </c>
      <c r="I201" t="e">
        <f>IF(#REF!="","",#REF!)</f>
        <v>#REF!</v>
      </c>
      <c r="J201" t="e">
        <f>IF(#REF!="","",#REF!)</f>
        <v>#REF!</v>
      </c>
      <c r="K201" t="e">
        <f>IF(#REF!="","",#REF!)</f>
        <v>#REF!</v>
      </c>
      <c r="L201" t="e">
        <f>IF(#REF!="","",#REF!)</f>
        <v>#REF!</v>
      </c>
      <c r="M201" t="e">
        <f>IF(#REF!="","",#REF!)</f>
        <v>#REF!</v>
      </c>
      <c r="N201" t="e">
        <f>IF(#REF!="","",#REF!)</f>
        <v>#REF!</v>
      </c>
      <c r="O201" t="e">
        <f>IF(#REF!="","",#REF!)</f>
        <v>#REF!</v>
      </c>
      <c r="P201" t="e">
        <f>IF(#REF!="","",#REF!)</f>
        <v>#REF!</v>
      </c>
      <c r="Q201" t="e">
        <f>IF(#REF!="","",#REF!)</f>
        <v>#REF!</v>
      </c>
      <c r="R201" t="e">
        <f>IF(#REF!="","",#REF!)</f>
        <v>#REF!</v>
      </c>
    </row>
    <row r="202" spans="7:18" x14ac:dyDescent="0.2">
      <c r="G202" t="e">
        <f t="shared" ca="1" si="14"/>
        <v>#REF!</v>
      </c>
      <c r="H202" t="e">
        <f>IF(#REF!="","",#REF!)</f>
        <v>#REF!</v>
      </c>
      <c r="I202" t="e">
        <f>IF(#REF!="","",#REF!)</f>
        <v>#REF!</v>
      </c>
      <c r="J202" t="e">
        <f>IF(#REF!="","",#REF!)</f>
        <v>#REF!</v>
      </c>
      <c r="K202" t="e">
        <f>IF(#REF!="","",#REF!)</f>
        <v>#REF!</v>
      </c>
      <c r="L202" t="e">
        <f>IF(#REF!="","",#REF!)</f>
        <v>#REF!</v>
      </c>
      <c r="M202" t="e">
        <f>IF(#REF!="","",#REF!)</f>
        <v>#REF!</v>
      </c>
      <c r="N202" t="e">
        <f>IF(#REF!="","",#REF!)</f>
        <v>#REF!</v>
      </c>
      <c r="O202" t="e">
        <f>IF(#REF!="","",#REF!)</f>
        <v>#REF!</v>
      </c>
      <c r="P202" t="e">
        <f>IF(#REF!="","",#REF!)</f>
        <v>#REF!</v>
      </c>
      <c r="Q202" t="e">
        <f>IF(#REF!="","",#REF!)</f>
        <v>#REF!</v>
      </c>
      <c r="R202" t="e">
        <f>IF(#REF!="","",#REF!)</f>
        <v>#REF!</v>
      </c>
    </row>
    <row r="203" spans="7:18" x14ac:dyDescent="0.2">
      <c r="G203" t="e">
        <f t="shared" ca="1" si="14"/>
        <v>#REF!</v>
      </c>
      <c r="H203" t="e">
        <f>IF(#REF!="","",#REF!)</f>
        <v>#REF!</v>
      </c>
      <c r="I203" t="e">
        <f>IF(#REF!="","",#REF!)</f>
        <v>#REF!</v>
      </c>
      <c r="J203" t="e">
        <f>IF(#REF!="","",#REF!)</f>
        <v>#REF!</v>
      </c>
      <c r="K203" t="e">
        <f>IF(#REF!="","",#REF!)</f>
        <v>#REF!</v>
      </c>
      <c r="L203" t="e">
        <f>IF(#REF!="","",#REF!)</f>
        <v>#REF!</v>
      </c>
      <c r="M203" t="e">
        <f>IF(#REF!="","",#REF!)</f>
        <v>#REF!</v>
      </c>
      <c r="N203" t="e">
        <f>IF(#REF!="","",#REF!)</f>
        <v>#REF!</v>
      </c>
      <c r="O203" t="e">
        <f>IF(#REF!="","",#REF!)</f>
        <v>#REF!</v>
      </c>
      <c r="P203" t="e">
        <f>IF(#REF!="","",#REF!)</f>
        <v>#REF!</v>
      </c>
      <c r="Q203" t="e">
        <f>IF(#REF!="","",#REF!)</f>
        <v>#REF!</v>
      </c>
      <c r="R203" t="e">
        <f>IF(#REF!="","",#REF!)</f>
        <v>#REF!</v>
      </c>
    </row>
    <row r="204" spans="7:18" x14ac:dyDescent="0.2">
      <c r="G204" t="e">
        <f t="shared" ca="1" si="14"/>
        <v>#REF!</v>
      </c>
      <c r="H204" t="e">
        <f>IF(#REF!="","",#REF!)</f>
        <v>#REF!</v>
      </c>
      <c r="I204" t="e">
        <f>IF(#REF!="","",#REF!)</f>
        <v>#REF!</v>
      </c>
      <c r="J204" t="e">
        <f>IF(#REF!="","",#REF!)</f>
        <v>#REF!</v>
      </c>
      <c r="K204" t="e">
        <f>IF(#REF!="","",#REF!)</f>
        <v>#REF!</v>
      </c>
      <c r="L204" t="e">
        <f>IF(#REF!="","",#REF!)</f>
        <v>#REF!</v>
      </c>
      <c r="M204" t="e">
        <f>IF(#REF!="","",#REF!)</f>
        <v>#REF!</v>
      </c>
      <c r="N204" t="e">
        <f>IF(#REF!="","",#REF!)</f>
        <v>#REF!</v>
      </c>
      <c r="O204" t="e">
        <f>IF(#REF!="","",#REF!)</f>
        <v>#REF!</v>
      </c>
      <c r="P204" t="e">
        <f>IF(#REF!="","",#REF!)</f>
        <v>#REF!</v>
      </c>
      <c r="Q204" t="e">
        <f>IF(#REF!="","",#REF!)</f>
        <v>#REF!</v>
      </c>
      <c r="R204" t="e">
        <f>IF(#REF!="","",#REF!)</f>
        <v>#REF!</v>
      </c>
    </row>
    <row r="205" spans="7:18" x14ac:dyDescent="0.2">
      <c r="G205" t="e">
        <f t="shared" ca="1" si="14"/>
        <v>#REF!</v>
      </c>
      <c r="H205" t="e">
        <f>IF(#REF!="","",#REF!)</f>
        <v>#REF!</v>
      </c>
      <c r="I205" t="e">
        <f>IF(#REF!="","",#REF!)</f>
        <v>#REF!</v>
      </c>
      <c r="J205" t="e">
        <f>IF(#REF!="","",#REF!)</f>
        <v>#REF!</v>
      </c>
      <c r="K205" t="e">
        <f>IF(#REF!="","",#REF!)</f>
        <v>#REF!</v>
      </c>
      <c r="L205" t="e">
        <f>IF(#REF!="","",#REF!)</f>
        <v>#REF!</v>
      </c>
      <c r="M205" t="e">
        <f>IF(#REF!="","",#REF!)</f>
        <v>#REF!</v>
      </c>
      <c r="N205" t="e">
        <f>IF(#REF!="","",#REF!)</f>
        <v>#REF!</v>
      </c>
      <c r="O205" t="e">
        <f>IF(#REF!="","",#REF!)</f>
        <v>#REF!</v>
      </c>
      <c r="P205" t="e">
        <f>IF(#REF!="","",#REF!)</f>
        <v>#REF!</v>
      </c>
      <c r="Q205" t="e">
        <f>IF(#REF!="","",#REF!)</f>
        <v>#REF!</v>
      </c>
      <c r="R205" t="e">
        <f>IF(#REF!="","",#REF!)</f>
        <v>#REF!</v>
      </c>
    </row>
    <row r="206" spans="7:18" x14ac:dyDescent="0.2">
      <c r="G206" t="e">
        <f t="shared" ca="1" si="14"/>
        <v>#REF!</v>
      </c>
      <c r="H206" t="e">
        <f>IF(#REF!="","",#REF!)</f>
        <v>#REF!</v>
      </c>
      <c r="I206" t="e">
        <f>IF(#REF!="","",#REF!)</f>
        <v>#REF!</v>
      </c>
      <c r="J206" t="e">
        <f>IF(#REF!="","",#REF!)</f>
        <v>#REF!</v>
      </c>
      <c r="K206" t="e">
        <f>IF(#REF!="","",#REF!)</f>
        <v>#REF!</v>
      </c>
      <c r="L206" t="e">
        <f>IF(#REF!="","",#REF!)</f>
        <v>#REF!</v>
      </c>
      <c r="M206" t="e">
        <f>IF(#REF!="","",#REF!)</f>
        <v>#REF!</v>
      </c>
      <c r="N206" t="e">
        <f>IF(#REF!="","",#REF!)</f>
        <v>#REF!</v>
      </c>
      <c r="O206" t="e">
        <f>IF(#REF!="","",#REF!)</f>
        <v>#REF!</v>
      </c>
      <c r="P206" t="e">
        <f>IF(#REF!="","",#REF!)</f>
        <v>#REF!</v>
      </c>
      <c r="Q206" t="e">
        <f>IF(#REF!="","",#REF!)</f>
        <v>#REF!</v>
      </c>
      <c r="R206" t="e">
        <f>IF(#REF!="","",#REF!)</f>
        <v>#REF!</v>
      </c>
    </row>
    <row r="207" spans="7:18" x14ac:dyDescent="0.2">
      <c r="G207" t="e">
        <f t="shared" ca="1" si="14"/>
        <v>#REF!</v>
      </c>
      <c r="H207" t="e">
        <f>IF(#REF!="","",#REF!)</f>
        <v>#REF!</v>
      </c>
      <c r="I207" t="e">
        <f>IF(#REF!="","",#REF!)</f>
        <v>#REF!</v>
      </c>
      <c r="J207" t="e">
        <f>IF(#REF!="","",#REF!)</f>
        <v>#REF!</v>
      </c>
      <c r="K207" t="e">
        <f>IF(#REF!="","",#REF!)</f>
        <v>#REF!</v>
      </c>
      <c r="L207" t="e">
        <f>IF(#REF!="","",#REF!)</f>
        <v>#REF!</v>
      </c>
      <c r="M207" t="e">
        <f>IF(#REF!="","",#REF!)</f>
        <v>#REF!</v>
      </c>
      <c r="N207" t="e">
        <f>IF(#REF!="","",#REF!)</f>
        <v>#REF!</v>
      </c>
      <c r="O207" t="e">
        <f>IF(#REF!="","",#REF!)</f>
        <v>#REF!</v>
      </c>
      <c r="P207" t="e">
        <f>IF(#REF!="","",#REF!)</f>
        <v>#REF!</v>
      </c>
      <c r="Q207" t="e">
        <f>IF(#REF!="","",#REF!)</f>
        <v>#REF!</v>
      </c>
      <c r="R207" t="e">
        <f>IF(#REF!="","",#REF!)</f>
        <v>#REF!</v>
      </c>
    </row>
    <row r="208" spans="7:18" x14ac:dyDescent="0.2">
      <c r="G208" t="e">
        <f t="shared" ca="1" si="14"/>
        <v>#REF!</v>
      </c>
      <c r="H208" t="e">
        <f>IF(#REF!="","",#REF!)</f>
        <v>#REF!</v>
      </c>
      <c r="I208" t="e">
        <f>IF(#REF!="","",#REF!)</f>
        <v>#REF!</v>
      </c>
      <c r="J208" t="e">
        <f>IF(#REF!="","",#REF!)</f>
        <v>#REF!</v>
      </c>
      <c r="K208" t="e">
        <f>IF(#REF!="","",#REF!)</f>
        <v>#REF!</v>
      </c>
      <c r="L208" t="e">
        <f>IF(#REF!="","",#REF!)</f>
        <v>#REF!</v>
      </c>
      <c r="M208" t="e">
        <f>IF(#REF!="","",#REF!)</f>
        <v>#REF!</v>
      </c>
      <c r="N208" t="e">
        <f>IF(#REF!="","",#REF!)</f>
        <v>#REF!</v>
      </c>
      <c r="O208" t="e">
        <f>IF(#REF!="","",#REF!)</f>
        <v>#REF!</v>
      </c>
      <c r="P208" t="e">
        <f>IF(#REF!="","",#REF!)</f>
        <v>#REF!</v>
      </c>
      <c r="Q208" t="e">
        <f>IF(#REF!="","",#REF!)</f>
        <v>#REF!</v>
      </c>
      <c r="R208" t="e">
        <f>IF(#REF!="","",#REF!)</f>
        <v>#REF!</v>
      </c>
    </row>
    <row r="209" spans="7:47" x14ac:dyDescent="0.2">
      <c r="G209" t="e">
        <f t="shared" ca="1" si="14"/>
        <v>#REF!</v>
      </c>
      <c r="H209" t="e">
        <f>IF(#REF!="","",#REF!)</f>
        <v>#REF!</v>
      </c>
      <c r="I209" t="e">
        <f>IF(#REF!="","",#REF!)</f>
        <v>#REF!</v>
      </c>
      <c r="J209" t="e">
        <f>IF(#REF!="","",#REF!)</f>
        <v>#REF!</v>
      </c>
      <c r="K209" t="e">
        <f>IF(#REF!="","",#REF!)</f>
        <v>#REF!</v>
      </c>
      <c r="L209" t="e">
        <f>IF(#REF!="","",#REF!)</f>
        <v>#REF!</v>
      </c>
      <c r="M209" t="e">
        <f>IF(#REF!="","",#REF!)</f>
        <v>#REF!</v>
      </c>
      <c r="N209" t="e">
        <f>IF(#REF!="","",#REF!)</f>
        <v>#REF!</v>
      </c>
      <c r="O209" t="e">
        <f>IF(#REF!="","",#REF!)</f>
        <v>#REF!</v>
      </c>
      <c r="P209" t="e">
        <f>IF(#REF!="","",#REF!)</f>
        <v>#REF!</v>
      </c>
      <c r="Q209" t="e">
        <f>IF(#REF!="","",#REF!)</f>
        <v>#REF!</v>
      </c>
      <c r="R209" t="e">
        <f>IF(#REF!="","",#REF!)</f>
        <v>#REF!</v>
      </c>
    </row>
    <row r="210" spans="7:47" x14ac:dyDescent="0.2">
      <c r="G210" t="e">
        <f t="shared" ca="1" si="14"/>
        <v>#REF!</v>
      </c>
      <c r="H210" t="e">
        <f>IF(#REF!="","",#REF!)</f>
        <v>#REF!</v>
      </c>
      <c r="I210" t="e">
        <f>IF(#REF!="","",#REF!)</f>
        <v>#REF!</v>
      </c>
      <c r="J210" t="e">
        <f>IF(#REF!="","",#REF!)</f>
        <v>#REF!</v>
      </c>
      <c r="K210" t="e">
        <f>IF(#REF!="","",#REF!)</f>
        <v>#REF!</v>
      </c>
      <c r="L210" t="e">
        <f>IF(#REF!="","",#REF!)</f>
        <v>#REF!</v>
      </c>
      <c r="M210" t="e">
        <f>IF(#REF!="","",#REF!)</f>
        <v>#REF!</v>
      </c>
      <c r="N210" t="e">
        <f>IF(#REF!="","",#REF!)</f>
        <v>#REF!</v>
      </c>
      <c r="O210" t="e">
        <f>IF(#REF!="","",#REF!)</f>
        <v>#REF!</v>
      </c>
      <c r="P210" t="e">
        <f>IF(#REF!="","",#REF!)</f>
        <v>#REF!</v>
      </c>
      <c r="Q210" t="e">
        <f>IF(#REF!="","",#REF!)</f>
        <v>#REF!</v>
      </c>
      <c r="R210" t="e">
        <f>IF(#REF!="","",#REF!)</f>
        <v>#REF!</v>
      </c>
    </row>
    <row r="211" spans="7:47" x14ac:dyDescent="0.2">
      <c r="G211" t="e">
        <f t="shared" ca="1" si="14"/>
        <v>#REF!</v>
      </c>
      <c r="H211" t="e">
        <f>IF(#REF!="","",#REF!)</f>
        <v>#REF!</v>
      </c>
      <c r="I211" t="e">
        <f>IF(#REF!="","",#REF!)</f>
        <v>#REF!</v>
      </c>
      <c r="J211" t="e">
        <f>IF(#REF!="","",#REF!)</f>
        <v>#REF!</v>
      </c>
      <c r="K211" t="e">
        <f>IF(#REF!="","",#REF!)</f>
        <v>#REF!</v>
      </c>
      <c r="L211" t="e">
        <f>IF(#REF!="","",#REF!)</f>
        <v>#REF!</v>
      </c>
      <c r="M211" t="e">
        <f>IF(#REF!="","",#REF!)</f>
        <v>#REF!</v>
      </c>
      <c r="N211" t="e">
        <f>IF(#REF!="","",#REF!)</f>
        <v>#REF!</v>
      </c>
      <c r="O211" t="e">
        <f>IF(#REF!="","",#REF!)</f>
        <v>#REF!</v>
      </c>
      <c r="P211" t="e">
        <f>IF(#REF!="","",#REF!)</f>
        <v>#REF!</v>
      </c>
      <c r="Q211" t="e">
        <f>IF(#REF!="","",#REF!)</f>
        <v>#REF!</v>
      </c>
      <c r="R211" t="e">
        <f>IF(#REF!="","",#REF!)</f>
        <v>#REF!</v>
      </c>
    </row>
    <row r="212" spans="7:47" x14ac:dyDescent="0.2">
      <c r="G212" t="e">
        <f t="shared" ca="1" si="14"/>
        <v>#REF!</v>
      </c>
      <c r="H212" t="e">
        <f>IF(#REF!="","",#REF!)</f>
        <v>#REF!</v>
      </c>
      <c r="I212" t="e">
        <f>IF(#REF!="","",#REF!)</f>
        <v>#REF!</v>
      </c>
      <c r="J212" t="e">
        <f>IF(#REF!="","",#REF!)</f>
        <v>#REF!</v>
      </c>
      <c r="K212" t="e">
        <f>IF(#REF!="","",#REF!)</f>
        <v>#REF!</v>
      </c>
      <c r="L212" t="e">
        <f>IF(#REF!="","",#REF!)</f>
        <v>#REF!</v>
      </c>
      <c r="M212" t="e">
        <f>IF(#REF!="","",#REF!)</f>
        <v>#REF!</v>
      </c>
      <c r="N212" t="e">
        <f>IF(#REF!="","",#REF!)</f>
        <v>#REF!</v>
      </c>
      <c r="O212" t="e">
        <f>IF(#REF!="","",#REF!)</f>
        <v>#REF!</v>
      </c>
      <c r="P212" t="e">
        <f>IF(#REF!="","",#REF!)</f>
        <v>#REF!</v>
      </c>
      <c r="Q212" t="e">
        <f>IF(#REF!="","",#REF!)</f>
        <v>#REF!</v>
      </c>
      <c r="R212" t="e">
        <f>IF(#REF!="","",#REF!)</f>
        <v>#REF!</v>
      </c>
    </row>
    <row r="213" spans="7:47" x14ac:dyDescent="0.2">
      <c r="G213" t="e">
        <f t="shared" ca="1" si="14"/>
        <v>#REF!</v>
      </c>
      <c r="H213" t="e">
        <f>IF(#REF!="","",#REF!)</f>
        <v>#REF!</v>
      </c>
      <c r="I213" t="e">
        <f>IF(#REF!="","",#REF!)</f>
        <v>#REF!</v>
      </c>
      <c r="J213" t="e">
        <f>IF(#REF!="","",#REF!)</f>
        <v>#REF!</v>
      </c>
      <c r="K213" t="e">
        <f>IF(#REF!="","",#REF!)</f>
        <v>#REF!</v>
      </c>
      <c r="L213" t="e">
        <f>IF(#REF!="","",#REF!)</f>
        <v>#REF!</v>
      </c>
      <c r="M213" t="e">
        <f>IF(#REF!="","",#REF!)</f>
        <v>#REF!</v>
      </c>
      <c r="N213" t="e">
        <f>IF(#REF!="","",#REF!)</f>
        <v>#REF!</v>
      </c>
      <c r="O213" t="e">
        <f>IF(#REF!="","",#REF!)</f>
        <v>#REF!</v>
      </c>
      <c r="P213" t="e">
        <f>IF(#REF!="","",#REF!)</f>
        <v>#REF!</v>
      </c>
      <c r="Q213" t="e">
        <f>IF(#REF!="","",#REF!)</f>
        <v>#REF!</v>
      </c>
      <c r="R213" t="e">
        <f>IF(#REF!="","",#REF!)</f>
        <v>#REF!</v>
      </c>
    </row>
    <row r="214" spans="7:47" x14ac:dyDescent="0.2">
      <c r="G214" t="e">
        <f t="shared" ca="1" si="14"/>
        <v>#REF!</v>
      </c>
      <c r="H214" t="e">
        <f>IF(#REF!="","",#REF!)</f>
        <v>#REF!</v>
      </c>
      <c r="I214" t="e">
        <f>IF(#REF!="","",#REF!)</f>
        <v>#REF!</v>
      </c>
      <c r="J214" t="e">
        <f>IF(#REF!="","",#REF!)</f>
        <v>#REF!</v>
      </c>
      <c r="K214" t="e">
        <f>IF(#REF!="","",#REF!)</f>
        <v>#REF!</v>
      </c>
      <c r="L214" t="e">
        <f>IF(#REF!="","",#REF!)</f>
        <v>#REF!</v>
      </c>
      <c r="M214" t="e">
        <f>IF(#REF!="","",#REF!)</f>
        <v>#REF!</v>
      </c>
      <c r="N214" t="e">
        <f>IF(#REF!="","",#REF!)</f>
        <v>#REF!</v>
      </c>
      <c r="O214" t="e">
        <f>IF(#REF!="","",#REF!)</f>
        <v>#REF!</v>
      </c>
      <c r="P214" t="e">
        <f>IF(#REF!="","",#REF!)</f>
        <v>#REF!</v>
      </c>
      <c r="Q214" t="e">
        <f>IF(#REF!="","",#REF!)</f>
        <v>#REF!</v>
      </c>
      <c r="R214" t="e">
        <f>IF(#REF!="","",#REF!)</f>
        <v>#REF!</v>
      </c>
    </row>
    <row r="215" spans="7:47" x14ac:dyDescent="0.2">
      <c r="G215" t="e">
        <f t="shared" ca="1" si="14"/>
        <v>#REF!</v>
      </c>
      <c r="H215" t="e">
        <f>IF(#REF!="","",#REF!)</f>
        <v>#REF!</v>
      </c>
      <c r="I215" t="e">
        <f>IF(#REF!="","",#REF!)</f>
        <v>#REF!</v>
      </c>
      <c r="J215" t="e">
        <f>IF(#REF!="","",#REF!)</f>
        <v>#REF!</v>
      </c>
      <c r="K215" t="e">
        <f>IF(#REF!="","",#REF!)</f>
        <v>#REF!</v>
      </c>
      <c r="L215" t="e">
        <f>IF(#REF!="","",#REF!)</f>
        <v>#REF!</v>
      </c>
      <c r="M215" t="e">
        <f>IF(#REF!="","",#REF!)</f>
        <v>#REF!</v>
      </c>
      <c r="N215" t="e">
        <f>IF(#REF!="","",#REF!)</f>
        <v>#REF!</v>
      </c>
      <c r="O215" t="e">
        <f>IF(#REF!="","",#REF!)</f>
        <v>#REF!</v>
      </c>
      <c r="P215" t="e">
        <f>IF(#REF!="","",#REF!)</f>
        <v>#REF!</v>
      </c>
      <c r="Q215" t="e">
        <f>IF(#REF!="","",#REF!)</f>
        <v>#REF!</v>
      </c>
      <c r="R215" t="e">
        <f>IF(#REF!="","",#REF!)</f>
        <v>#REF!</v>
      </c>
    </row>
    <row r="216" spans="7:47" x14ac:dyDescent="0.2">
      <c r="G216" t="e">
        <f t="shared" ca="1" si="14"/>
        <v>#REF!</v>
      </c>
      <c r="H216" t="e">
        <f>IF(#REF!="","",#REF!)</f>
        <v>#REF!</v>
      </c>
      <c r="I216" t="e">
        <f>IF(#REF!="","",#REF!)</f>
        <v>#REF!</v>
      </c>
      <c r="J216" t="e">
        <f>IF(#REF!="","",#REF!)</f>
        <v>#REF!</v>
      </c>
      <c r="K216" t="e">
        <f>IF(#REF!="","",#REF!)</f>
        <v>#REF!</v>
      </c>
      <c r="L216" t="e">
        <f>IF(#REF!="","",#REF!)</f>
        <v>#REF!</v>
      </c>
      <c r="M216" t="e">
        <f>IF(#REF!="","",#REF!)</f>
        <v>#REF!</v>
      </c>
      <c r="N216" t="e">
        <f>IF(#REF!="","",#REF!)</f>
        <v>#REF!</v>
      </c>
      <c r="O216" t="e">
        <f>IF(#REF!="","",#REF!)</f>
        <v>#REF!</v>
      </c>
      <c r="P216" t="e">
        <f>IF(#REF!="","",#REF!)</f>
        <v>#REF!</v>
      </c>
      <c r="Q216" t="e">
        <f>IF(#REF!="","",#REF!)</f>
        <v>#REF!</v>
      </c>
      <c r="R216" t="e">
        <f>IF(#REF!="","",#REF!)</f>
        <v>#REF!</v>
      </c>
    </row>
    <row r="217" spans="7:47" x14ac:dyDescent="0.2">
      <c r="G217" t="e">
        <f t="shared" ca="1" si="14"/>
        <v>#REF!</v>
      </c>
      <c r="H217" t="e">
        <f>IF(#REF!="","",#REF!)</f>
        <v>#REF!</v>
      </c>
      <c r="I217" t="e">
        <f>IF(#REF!="","",#REF!)</f>
        <v>#REF!</v>
      </c>
      <c r="J217" t="e">
        <f>IF(#REF!="","",#REF!)</f>
        <v>#REF!</v>
      </c>
      <c r="K217" t="e">
        <f>IF(#REF!="","",#REF!)</f>
        <v>#REF!</v>
      </c>
      <c r="L217" t="e">
        <f>IF(#REF!="","",#REF!)</f>
        <v>#REF!</v>
      </c>
      <c r="M217" t="e">
        <f>IF(#REF!="","",#REF!)</f>
        <v>#REF!</v>
      </c>
      <c r="N217" t="e">
        <f>IF(#REF!="","",#REF!)</f>
        <v>#REF!</v>
      </c>
      <c r="O217" t="e">
        <f>IF(#REF!="","",#REF!)</f>
        <v>#REF!</v>
      </c>
      <c r="P217" t="e">
        <f>IF(#REF!="","",#REF!)</f>
        <v>#REF!</v>
      </c>
      <c r="Q217" t="e">
        <f>IF(#REF!="","",#REF!)</f>
        <v>#REF!</v>
      </c>
      <c r="R217" t="e">
        <f>IF(#REF!="","",#REF!)</f>
        <v>#REF!</v>
      </c>
    </row>
    <row r="218" spans="7:47" x14ac:dyDescent="0.2">
      <c r="G218" t="e">
        <f t="shared" ca="1" si="14"/>
        <v>#REF!</v>
      </c>
      <c r="H218" t="e">
        <f>IF(#REF!="","",#REF!)</f>
        <v>#REF!</v>
      </c>
      <c r="I218" t="e">
        <f>IF(#REF!="","",#REF!)</f>
        <v>#REF!</v>
      </c>
      <c r="J218" t="e">
        <f>IF(#REF!="","",#REF!)</f>
        <v>#REF!</v>
      </c>
      <c r="K218" t="e">
        <f>IF(#REF!="","",#REF!)</f>
        <v>#REF!</v>
      </c>
      <c r="L218" t="e">
        <f>IF(#REF!="","",#REF!)</f>
        <v>#REF!</v>
      </c>
      <c r="M218" t="e">
        <f>IF(#REF!="","",#REF!)</f>
        <v>#REF!</v>
      </c>
      <c r="N218" t="e">
        <f>IF(#REF!="","",#REF!)</f>
        <v>#REF!</v>
      </c>
      <c r="O218" t="e">
        <f>IF(#REF!="","",#REF!)</f>
        <v>#REF!</v>
      </c>
      <c r="P218" t="e">
        <f>IF(#REF!="","",#REF!)</f>
        <v>#REF!</v>
      </c>
      <c r="Q218" t="e">
        <f>IF(#REF!="","",#REF!)</f>
        <v>#REF!</v>
      </c>
      <c r="R218" t="e">
        <f>IF(#REF!="","",#REF!)</f>
        <v>#REF!</v>
      </c>
    </row>
    <row r="219" spans="7:47" x14ac:dyDescent="0.2">
      <c r="G219" t="e">
        <f t="shared" ca="1" si="14"/>
        <v>#REF!</v>
      </c>
      <c r="H219" t="e">
        <f>IF(#REF!="","",#REF!)</f>
        <v>#REF!</v>
      </c>
      <c r="I219" t="e">
        <f>IF(#REF!="","",#REF!)</f>
        <v>#REF!</v>
      </c>
      <c r="J219" t="e">
        <f>IF(#REF!="","",#REF!)</f>
        <v>#REF!</v>
      </c>
      <c r="K219" t="e">
        <f>IF(#REF!="","",#REF!)</f>
        <v>#REF!</v>
      </c>
      <c r="L219" t="e">
        <f>IF(#REF!="","",#REF!)</f>
        <v>#REF!</v>
      </c>
      <c r="M219" t="e">
        <f>IF(#REF!="","",#REF!)</f>
        <v>#REF!</v>
      </c>
      <c r="N219" t="e">
        <f>IF(#REF!="","",#REF!)</f>
        <v>#REF!</v>
      </c>
      <c r="O219" t="e">
        <f>IF(#REF!="","",#REF!)</f>
        <v>#REF!</v>
      </c>
      <c r="P219" t="e">
        <f>IF(#REF!="","",#REF!)</f>
        <v>#REF!</v>
      </c>
      <c r="Q219" t="e">
        <f>IF(#REF!="","",#REF!)</f>
        <v>#REF!</v>
      </c>
      <c r="R219" t="e">
        <f>IF(#REF!="","",#REF!)</f>
        <v>#REF!</v>
      </c>
    </row>
    <row r="220" spans="7:47" x14ac:dyDescent="0.2">
      <c r="G220" t="e">
        <f t="shared" ca="1" si="14"/>
        <v>#REF!</v>
      </c>
      <c r="H220" t="e">
        <f>IF(#REF!="","",#REF!)</f>
        <v>#REF!</v>
      </c>
      <c r="I220" t="e">
        <f>IF(#REF!="","",#REF!)</f>
        <v>#REF!</v>
      </c>
      <c r="J220" t="e">
        <f>IF(#REF!="","",#REF!)</f>
        <v>#REF!</v>
      </c>
      <c r="K220" t="e">
        <f>IF(#REF!="","",#REF!)</f>
        <v>#REF!</v>
      </c>
      <c r="L220" t="e">
        <f>IF(#REF!="","",#REF!)</f>
        <v>#REF!</v>
      </c>
      <c r="M220" t="e">
        <f>IF(#REF!="","",#REF!)</f>
        <v>#REF!</v>
      </c>
      <c r="N220" t="e">
        <f>IF(#REF!="","",#REF!)</f>
        <v>#REF!</v>
      </c>
      <c r="O220" t="e">
        <f>IF(#REF!="","",#REF!)</f>
        <v>#REF!</v>
      </c>
      <c r="P220" t="e">
        <f>IF(#REF!="","",#REF!)</f>
        <v>#REF!</v>
      </c>
      <c r="Q220" t="e">
        <f>IF(#REF!="","",#REF!)</f>
        <v>#REF!</v>
      </c>
      <c r="R220" t="e">
        <f>IF(#REF!="","",#REF!)</f>
        <v>#REF!</v>
      </c>
      <c r="AE220">
        <v>5</v>
      </c>
    </row>
    <row r="221" spans="7:47" x14ac:dyDescent="0.2">
      <c r="G221" t="e">
        <f t="shared" ca="1" si="14"/>
        <v>#REF!</v>
      </c>
      <c r="H221" t="e">
        <f>IF(#REF!="","",#REF!)</f>
        <v>#REF!</v>
      </c>
      <c r="I221" t="e">
        <f>IF(#REF!="","",#REF!)</f>
        <v>#REF!</v>
      </c>
      <c r="J221" t="e">
        <f>IF(#REF!="","",#REF!)</f>
        <v>#REF!</v>
      </c>
      <c r="K221" t="e">
        <f>IF(#REF!="","",#REF!)</f>
        <v>#REF!</v>
      </c>
      <c r="L221" t="e">
        <f>IF(#REF!="","",#REF!)</f>
        <v>#REF!</v>
      </c>
      <c r="M221" t="e">
        <f>IF(#REF!="","",#REF!)</f>
        <v>#REF!</v>
      </c>
      <c r="N221" t="e">
        <f>IF(#REF!="","",#REF!)</f>
        <v>#REF!</v>
      </c>
      <c r="O221" t="e">
        <f>IF(#REF!="","",#REF!)</f>
        <v>#REF!</v>
      </c>
      <c r="P221" t="e">
        <f>IF(#REF!="","",#REF!)</f>
        <v>#REF!</v>
      </c>
      <c r="Q221" t="e">
        <f>IF(#REF!="","",#REF!)</f>
        <v>#REF!</v>
      </c>
      <c r="R221" t="e">
        <f>IF(#REF!="","",#REF!)</f>
        <v>#REF!</v>
      </c>
      <c r="AE221" s="68">
        <v>0.25</v>
      </c>
    </row>
    <row r="222" spans="7:47" x14ac:dyDescent="0.2">
      <c r="G222" t="e">
        <f t="shared" ca="1" si="14"/>
        <v>#REF!</v>
      </c>
      <c r="H222" t="e">
        <f>IF(#REF!="","",#REF!)</f>
        <v>#REF!</v>
      </c>
      <c r="I222" t="e">
        <f>IF(#REF!="","",#REF!)</f>
        <v>#REF!</v>
      </c>
      <c r="J222" t="e">
        <f>IF(#REF!="","",#REF!)</f>
        <v>#REF!</v>
      </c>
      <c r="K222" t="e">
        <f>IF(#REF!="","",#REF!)</f>
        <v>#REF!</v>
      </c>
      <c r="L222" t="e">
        <f>IF(#REF!="","",#REF!)</f>
        <v>#REF!</v>
      </c>
      <c r="M222" t="e">
        <f>IF(#REF!="","",#REF!)</f>
        <v>#REF!</v>
      </c>
      <c r="N222" t="e">
        <f>IF(#REF!="","",#REF!)</f>
        <v>#REF!</v>
      </c>
      <c r="O222" t="e">
        <f>IF(#REF!="","",#REF!)</f>
        <v>#REF!</v>
      </c>
      <c r="P222" t="e">
        <f>IF(#REF!="","",#REF!)</f>
        <v>#REF!</v>
      </c>
      <c r="Q222" t="e">
        <f>IF(#REF!="","",#REF!)</f>
        <v>#REF!</v>
      </c>
      <c r="R222" t="e">
        <f>IF(#REF!="","",#REF!)</f>
        <v>#REF!</v>
      </c>
      <c r="AE222" s="68">
        <v>0.1</v>
      </c>
    </row>
    <row r="223" spans="7:47" x14ac:dyDescent="0.2">
      <c r="AB223">
        <v>36403</v>
      </c>
      <c r="AC223" t="s">
        <v>856</v>
      </c>
      <c r="AE223" s="68">
        <v>0.55000000000000004</v>
      </c>
      <c r="AF223" t="s">
        <v>857</v>
      </c>
      <c r="AH223">
        <v>38.68</v>
      </c>
      <c r="AI223" s="32">
        <v>2789.7930000000001</v>
      </c>
    </row>
    <row r="224" spans="7:47" ht="26.25" customHeight="1" x14ac:dyDescent="0.2">
      <c r="AU224" s="144"/>
    </row>
    <row r="248" spans="1:8" x14ac:dyDescent="0.2">
      <c r="A248" t="s">
        <v>180</v>
      </c>
      <c r="B248" t="s">
        <v>858</v>
      </c>
      <c r="C248" t="s">
        <v>859</v>
      </c>
      <c r="D248" t="s">
        <v>860</v>
      </c>
      <c r="E248" t="s">
        <v>861</v>
      </c>
      <c r="F248" t="s">
        <v>862</v>
      </c>
      <c r="G248" t="s">
        <v>863</v>
      </c>
      <c r="H248" t="s">
        <v>864</v>
      </c>
    </row>
    <row r="249" spans="1:8" x14ac:dyDescent="0.2">
      <c r="A249" t="e">
        <f t="shared" ref="A249:A254" ca="1" si="15">DQ$2</f>
        <v>#REF!</v>
      </c>
      <c r="B249" t="e">
        <f>#REF!</f>
        <v>#REF!</v>
      </c>
      <c r="C249" s="82" t="e">
        <f>#REF!</f>
        <v>#REF!</v>
      </c>
      <c r="D249" s="82" t="e">
        <f>#REF!</f>
        <v>#REF!</v>
      </c>
      <c r="E249" s="82" t="e">
        <f>#REF!</f>
        <v>#REF!</v>
      </c>
      <c r="F249" s="82" t="e">
        <f>#REF!</f>
        <v>#REF!</v>
      </c>
      <c r="G249" s="82" t="e">
        <f>#REF!</f>
        <v>#REF!</v>
      </c>
      <c r="H249" s="82" t="e">
        <f>#REF!</f>
        <v>#REF!</v>
      </c>
    </row>
    <row r="250" spans="1:8" x14ac:dyDescent="0.2">
      <c r="A250" t="e">
        <f t="shared" ca="1" si="15"/>
        <v>#REF!</v>
      </c>
      <c r="B250" t="e">
        <f>#REF!</f>
        <v>#REF!</v>
      </c>
      <c r="C250" s="82" t="e">
        <f>#REF!</f>
        <v>#REF!</v>
      </c>
      <c r="D250" s="82" t="e">
        <f>#REF!</f>
        <v>#REF!</v>
      </c>
      <c r="E250" s="82" t="e">
        <f>#REF!</f>
        <v>#REF!</v>
      </c>
      <c r="F250" s="82" t="e">
        <f>#REF!</f>
        <v>#REF!</v>
      </c>
      <c r="G250" s="82" t="e">
        <f>#REF!</f>
        <v>#REF!</v>
      </c>
      <c r="H250" s="82" t="e">
        <f>#REF!</f>
        <v>#REF!</v>
      </c>
    </row>
    <row r="251" spans="1:8" x14ac:dyDescent="0.2">
      <c r="A251" t="e">
        <f t="shared" ca="1" si="15"/>
        <v>#REF!</v>
      </c>
      <c r="B251" t="e">
        <f>#REF!</f>
        <v>#REF!</v>
      </c>
      <c r="C251" s="82" t="e">
        <f>#REF!</f>
        <v>#REF!</v>
      </c>
      <c r="D251" s="82" t="e">
        <f>#REF!</f>
        <v>#REF!</v>
      </c>
      <c r="E251" s="82" t="e">
        <f>#REF!</f>
        <v>#REF!</v>
      </c>
      <c r="F251" s="82" t="e">
        <f>#REF!</f>
        <v>#REF!</v>
      </c>
      <c r="G251" s="82" t="e">
        <f>#REF!</f>
        <v>#REF!</v>
      </c>
      <c r="H251" s="82" t="e">
        <f>#REF!</f>
        <v>#REF!</v>
      </c>
    </row>
    <row r="252" spans="1:8" x14ac:dyDescent="0.2">
      <c r="A252" t="e">
        <f t="shared" ca="1" si="15"/>
        <v>#REF!</v>
      </c>
      <c r="B252" t="e">
        <f>#REF!</f>
        <v>#REF!</v>
      </c>
      <c r="C252" s="82" t="e">
        <f>#REF!</f>
        <v>#REF!</v>
      </c>
      <c r="D252" s="82" t="e">
        <f>#REF!</f>
        <v>#REF!</v>
      </c>
      <c r="E252" s="82" t="e">
        <f>#REF!</f>
        <v>#REF!</v>
      </c>
      <c r="F252" s="82" t="e">
        <f>#REF!</f>
        <v>#REF!</v>
      </c>
      <c r="G252" s="82" t="e">
        <f>#REF!</f>
        <v>#REF!</v>
      </c>
      <c r="H252" s="82" t="e">
        <f>#REF!</f>
        <v>#REF!</v>
      </c>
    </row>
    <row r="253" spans="1:8" x14ac:dyDescent="0.2">
      <c r="A253" t="e">
        <f t="shared" ca="1" si="15"/>
        <v>#REF!</v>
      </c>
      <c r="B253" t="e">
        <f>#REF!</f>
        <v>#REF!</v>
      </c>
      <c r="C253" s="82" t="e">
        <f>#REF!</f>
        <v>#REF!</v>
      </c>
      <c r="D253" s="82" t="e">
        <f>#REF!</f>
        <v>#REF!</v>
      </c>
      <c r="E253" s="82" t="e">
        <f>#REF!</f>
        <v>#REF!</v>
      </c>
      <c r="F253" s="82" t="e">
        <f>#REF!</f>
        <v>#REF!</v>
      </c>
      <c r="G253" s="82" t="e">
        <f>#REF!</f>
        <v>#REF!</v>
      </c>
      <c r="H253" s="82" t="e">
        <f>#REF!</f>
        <v>#REF!</v>
      </c>
    </row>
    <row r="254" spans="1:8" x14ac:dyDescent="0.2">
      <c r="A254" t="e">
        <f t="shared" ca="1" si="15"/>
        <v>#REF!</v>
      </c>
      <c r="B254" t="e">
        <f>#REF!</f>
        <v>#REF!</v>
      </c>
      <c r="C254" s="82" t="e">
        <f>#REF!</f>
        <v>#REF!</v>
      </c>
      <c r="D254" s="82" t="e">
        <f>#REF!</f>
        <v>#REF!</v>
      </c>
      <c r="E254" s="82" t="e">
        <f>#REF!</f>
        <v>#REF!</v>
      </c>
      <c r="F254" s="82" t="e">
        <f>#REF!</f>
        <v>#REF!</v>
      </c>
      <c r="G254" s="82" t="e">
        <f>#REF!</f>
        <v>#REF!</v>
      </c>
      <c r="H254" s="82" t="e">
        <f>#REF!</f>
        <v>#REF!</v>
      </c>
    </row>
  </sheetData>
  <mergeCells count="2">
    <mergeCell ref="B62:C62"/>
    <mergeCell ref="D62:E62"/>
  </mergeCells>
  <phoneticPr fontId="8" type="noConversion"/>
  <pageMargins left="0.17" right="0.19" top="0.984251969" bottom="0.984251969" header="0.4921259845" footer="0.492125984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5"/>
  <dimension ref="A1"/>
  <sheetViews>
    <sheetView workbookViewId="0">
      <selection activeCell="H28" sqref="H28"/>
    </sheetView>
  </sheetViews>
  <sheetFormatPr baseColWidth="10" defaultColWidth="11.42578125" defaultRowHeight="12.75" x14ac:dyDescent="0.2"/>
  <sheetData/>
  <phoneticPr fontId="15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8F1147A4CDC4488B4376331AD2166" ma:contentTypeVersion="21" ma:contentTypeDescription="Crée un document." ma:contentTypeScope="" ma:versionID="00cc48d2fb3b6aabc959ba10edb85eaa">
  <xsd:schema xmlns:xsd="http://www.w3.org/2001/XMLSchema" xmlns:xs="http://www.w3.org/2001/XMLSchema" xmlns:p="http://schemas.microsoft.com/office/2006/metadata/properties" xmlns:ns2="41851184-4b28-4196-a3fe-31116a3345ac" xmlns:ns3="a3d363c2-ac57-4088-9970-e55a9ff5228c" targetNamespace="http://schemas.microsoft.com/office/2006/metadata/properties" ma:root="true" ma:fieldsID="de845b1a8079164fdda6d2ab20802192" ns2:_="" ns3:_="">
    <xsd:import namespace="41851184-4b28-4196-a3fe-31116a3345ac"/>
    <xsd:import namespace="a3d363c2-ac57-4088-9970-e55a9ff522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Flow_SignoffStatu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51184-4b28-4196-a3fe-31116a3345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cc1a74-d0ef-4d38-95b2-c7e15ae5ba8c}" ma:internalName="TaxCatchAll" ma:showField="CatchAllData" ma:web="41851184-4b28-4196-a3fe-31116a3345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63c2-ac57-4088-9970-e55a9ff5228c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0" nillable="true" ma:displayName="État de validation" ma:internalName="_x00c9_tat_x0020_de_x0020_validat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a548d7-6e97-4df7-907f-a2154bca2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851184-4b28-4196-a3fe-31116a3345ac">
      <UserInfo>
        <DisplayName/>
        <AccountId xsi:nil="true"/>
        <AccountType/>
      </UserInfo>
    </SharedWithUsers>
    <lcf76f155ced4ddcb4097134ff3c332f xmlns="a3d363c2-ac57-4088-9970-e55a9ff5228c">
      <Terms xmlns="http://schemas.microsoft.com/office/infopath/2007/PartnerControls"/>
    </lcf76f155ced4ddcb4097134ff3c332f>
    <TaxCatchAll xmlns="41851184-4b28-4196-a3fe-31116a3345ac" xsi:nil="true"/>
    <_Flow_SignoffStatus xmlns="a3d363c2-ac57-4088-9970-e55a9ff5228c" xsi:nil="true"/>
    <MediaLengthInSeconds xmlns="a3d363c2-ac57-4088-9970-e55a9ff5228c" xsi:nil="true"/>
  </documentManagement>
</p:properties>
</file>

<file path=customXml/itemProps1.xml><?xml version="1.0" encoding="utf-8"?>
<ds:datastoreItem xmlns:ds="http://schemas.openxmlformats.org/officeDocument/2006/customXml" ds:itemID="{E0D2C6BC-B3BD-464A-8AD4-A4930EBA7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0CB22-98A0-4557-9584-C73F5828C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51184-4b28-4196-a3fe-31116a3345ac"/>
    <ds:schemaRef ds:uri="a3d363c2-ac57-4088-9970-e55a9ff52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13AF15-6E14-4EB9-B551-1B29587E6353}">
  <ds:schemaRefs>
    <ds:schemaRef ds:uri="http://www.w3.org/XML/1998/namespace"/>
    <ds:schemaRef ds:uri="a3d363c2-ac57-4088-9970-e55a9ff5228c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1851184-4b28-4196-a3fe-31116a3345ac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262d4ec-5a67-4957-abb6-bf78aca6a6f5}" enabled="0" method="" siteId="{4262d4ec-5a67-4957-abb6-bf78aca6a6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108</vt:i4>
      </vt:variant>
    </vt:vector>
  </HeadingPairs>
  <TitlesOfParts>
    <vt:vector size="116" baseType="lpstr">
      <vt:lpstr>1. Base de référence</vt:lpstr>
      <vt:lpstr>Feuil1</vt:lpstr>
      <vt:lpstr>Data2</vt:lpstr>
      <vt:lpstr>EntenteType</vt:lpstr>
      <vt:lpstr>2. Plan d'implantation</vt:lpstr>
      <vt:lpstr>4. Résultats plan implantation</vt:lpstr>
      <vt:lpstr>Data</vt:lpstr>
      <vt:lpstr>Code SCIAN</vt:lpstr>
      <vt:lpstr>Data2!Action</vt:lpstr>
      <vt:lpstr>Action</vt:lpstr>
      <vt:lpstr>Data2!Activite_Gestion_Dev</vt:lpstr>
      <vt:lpstr>Activite_Gestion_Dev</vt:lpstr>
      <vt:lpstr>Data2!ActiviteTransportExport</vt:lpstr>
      <vt:lpstr>ActiviteTransportExport</vt:lpstr>
      <vt:lpstr>Data2!Aide_dem</vt:lpstr>
      <vt:lpstr>Aide_dem</vt:lpstr>
      <vt:lpstr>Data2!AnalExport</vt:lpstr>
      <vt:lpstr>AnalExport</vt:lpstr>
      <vt:lpstr>Data2!Analyse</vt:lpstr>
      <vt:lpstr>Analyse</vt:lpstr>
      <vt:lpstr>Data2!Appel</vt:lpstr>
      <vt:lpstr>Appel</vt:lpstr>
      <vt:lpstr>Data2!Autes_Sites</vt:lpstr>
      <vt:lpstr>Autes_Sites</vt:lpstr>
      <vt:lpstr>Data2!Autres_Sites</vt:lpstr>
      <vt:lpstr>Autres_Sites</vt:lpstr>
      <vt:lpstr>Data2!Code_appel</vt:lpstr>
      <vt:lpstr>Code_appel</vt:lpstr>
      <vt:lpstr>Data2!Connaissances</vt:lpstr>
      <vt:lpstr>Connaissances</vt:lpstr>
      <vt:lpstr>Data2!Consomref</vt:lpstr>
      <vt:lpstr>Consomref</vt:lpstr>
      <vt:lpstr>Data2!Conversion</vt:lpstr>
      <vt:lpstr>Conversion</vt:lpstr>
      <vt:lpstr>Data2!Deploiement2</vt:lpstr>
      <vt:lpstr>Deploiement2</vt:lpstr>
      <vt:lpstr>Data2!DEVA</vt:lpstr>
      <vt:lpstr>DEVA</vt:lpstr>
      <vt:lpstr>Data2!DEVB</vt:lpstr>
      <vt:lpstr>DEVB</vt:lpstr>
      <vt:lpstr>Data2!Echeancier</vt:lpstr>
      <vt:lpstr>Echeancier</vt:lpstr>
      <vt:lpstr>Data2!Eff_énergétique</vt:lpstr>
      <vt:lpstr>Eff_énergétique</vt:lpstr>
      <vt:lpstr>Data2!Efficacité</vt:lpstr>
      <vt:lpstr>Efficacité</vt:lpstr>
      <vt:lpstr>Data2!Émissions_fugitives</vt:lpstr>
      <vt:lpstr>Émissions_fugitives</vt:lpstr>
      <vt:lpstr>Data2!Énergie</vt:lpstr>
      <vt:lpstr>Énergie</vt:lpstr>
      <vt:lpstr>Data2!Energie_SEQ</vt:lpstr>
      <vt:lpstr>Energie_SEQ</vt:lpstr>
      <vt:lpstr>Data2!EquipTranspoert</vt:lpstr>
      <vt:lpstr>EquipTranspoert</vt:lpstr>
      <vt:lpstr>Data2!EquipTransportExport</vt:lpstr>
      <vt:lpstr>EquipTransportExport</vt:lpstr>
      <vt:lpstr>Data2!Exportation</vt:lpstr>
      <vt:lpstr>Exportation</vt:lpstr>
      <vt:lpstr>Data2!Fin_Autre</vt:lpstr>
      <vt:lpstr>Fin_Autre</vt:lpstr>
      <vt:lpstr>Data2!Fin_autre2</vt:lpstr>
      <vt:lpstr>Fin_autre2</vt:lpstr>
      <vt:lpstr>Data2!Fugitive</vt:lpstr>
      <vt:lpstr>Fugitive</vt:lpstr>
      <vt:lpstr>Data2!GESA</vt:lpstr>
      <vt:lpstr>GESA</vt:lpstr>
      <vt:lpstr>Data2!GESB</vt:lpstr>
      <vt:lpstr>GESB</vt:lpstr>
      <vt:lpstr>Data2!Gestion</vt:lpstr>
      <vt:lpstr>Gestion</vt:lpstr>
      <vt:lpstr>Data2!Gestion_d_énergie</vt:lpstr>
      <vt:lpstr>Gestion_d_énergie</vt:lpstr>
      <vt:lpstr>Implantation</vt:lpstr>
      <vt:lpstr>Data2!InnoDescType</vt:lpstr>
      <vt:lpstr>InnoDescType</vt:lpstr>
      <vt:lpstr>Data2!Innovation</vt:lpstr>
      <vt:lpstr>Innovation</vt:lpstr>
      <vt:lpstr>Data2!Montage_Fin</vt:lpstr>
      <vt:lpstr>Montage_Fin</vt:lpstr>
      <vt:lpstr>Data2!Montage_Fin_Inno</vt:lpstr>
      <vt:lpstr>Montage_Fin_Inno</vt:lpstr>
      <vt:lpstr>Data2!Nbremes</vt:lpstr>
      <vt:lpstr>Nbremes</vt:lpstr>
      <vt:lpstr>Data2!NRJ</vt:lpstr>
      <vt:lpstr>NRJ</vt:lpstr>
      <vt:lpstr>Data2!OPTER</vt:lpstr>
      <vt:lpstr>OPTER</vt:lpstr>
      <vt:lpstr>Data2!Ordre</vt:lpstr>
      <vt:lpstr>Ordre</vt:lpstr>
      <vt:lpstr>Data2!PRP</vt:lpstr>
      <vt:lpstr>PRP</vt:lpstr>
      <vt:lpstr>Data2!Recom</vt:lpstr>
      <vt:lpstr>Recom</vt:lpstr>
      <vt:lpstr>Data2!Refrigref</vt:lpstr>
      <vt:lpstr>Refrigref</vt:lpstr>
      <vt:lpstr>Data2!Rep_Dep</vt:lpstr>
      <vt:lpstr>Rep_Dep</vt:lpstr>
      <vt:lpstr>Data2!Rep_dep_Inno</vt:lpstr>
      <vt:lpstr>Rep_dep_Inno</vt:lpstr>
      <vt:lpstr>ResImplantation</vt:lpstr>
      <vt:lpstr>Data2!Type_Aide</vt:lpstr>
      <vt:lpstr>Type_Aide</vt:lpstr>
      <vt:lpstr>Data2!Type_emission</vt:lpstr>
      <vt:lpstr>Type_emission</vt:lpstr>
      <vt:lpstr>Type_Entreprise</vt:lpstr>
      <vt:lpstr>Type_EntrepriseData2</vt:lpstr>
      <vt:lpstr>Data2!Type_sys</vt:lpstr>
      <vt:lpstr>Type_sys</vt:lpstr>
      <vt:lpstr>Data2!Unite</vt:lpstr>
      <vt:lpstr>Unite</vt:lpstr>
      <vt:lpstr>Data2!Unite_Surface</vt:lpstr>
      <vt:lpstr>Unite_Surface</vt:lpstr>
      <vt:lpstr>Data2!Volet</vt:lpstr>
      <vt:lpstr>Volet</vt:lpstr>
      <vt:lpstr>'2. Plan d''implantation'!Zone_d_impression</vt:lpstr>
      <vt:lpstr>'4. Résultats plan implantation'!Zone_d_impression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éléments à inclure dans la base de référence</dc:title>
  <dc:subject/>
  <dc:creator>Ministère de l’Environnement, de la Lutte contre les changements climatiques, de la Faune et des Parcs; MELCCFP</dc:creator>
  <cp:keywords>aide financière, constitution d’une base de référence, économie d’énergie garantie, EEG, efficacité énergétique, entreprise de services écoénergétique, ESE, réduction des émissions de GES</cp:keywords>
  <dc:description/>
  <cp:lastModifiedBy>Cantin, Stéphane</cp:lastModifiedBy>
  <cp:revision/>
  <dcterms:created xsi:type="dcterms:W3CDTF">2007-11-05T15:37:51Z</dcterms:created>
  <dcterms:modified xsi:type="dcterms:W3CDTF">2026-05-11T18:18:14Z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0x01010030B8F1147A4CDC4488B4376331AD2166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  <property fmtid="{D5CDD505-2E9C-101B-9397-08002B2CF9AE}" pid="9" name="TriggerFlowInfo">
    <vt:lpwstr/>
  </property>
</Properties>
</file>